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0 - Mes affaires\Arc\Archers du Phénix\3-Structures\1-Matériels\"/>
    </mc:Choice>
  </mc:AlternateContent>
  <workbookProtection workbookAlgorithmName="SHA-512" workbookHashValue="VR6Ickh9Vk0RcrYzC6ZmAqzDY7zqHVazm3Ap0+at4lP2CG031sKQcE5q8UcGD0ya7kkCIRZau2cVAadgREuqOQ==" workbookSaltValue="Y0fO604tDzgx1A4EQ4Yh+Q==" workbookSpinCount="100000" lockStructure="1"/>
  <bookViews>
    <workbookView xWindow="0" yWindow="0" windowWidth="20490" windowHeight="7905"/>
  </bookViews>
  <sheets>
    <sheet name="Fiche Matériel Archer" sheetId="1" r:id="rId1"/>
    <sheet name="Viseur" sheetId="7" r:id="rId2"/>
    <sheet name="DSC" sheetId="9" r:id="rId3"/>
    <sheet name="Fournisseurs" sheetId="8" r:id="rId4"/>
    <sheet name="Flèches" sheetId="6" state="hidden" r:id="rId5"/>
    <sheet name="Param" sheetId="2" state="hidden" r:id="rId6"/>
    <sheet name="Param_DSC" sheetId="5" state="hidden" r:id="rId7"/>
  </sheets>
  <definedNames>
    <definedName name="_xlnm._FilterDatabase" localSheetId="4" hidden="1">Flèches!$A$2:$L$475</definedName>
    <definedName name="Arc">Param_DSC!$C$20:$D$24</definedName>
    <definedName name="Arc_Moins_Corde">Param!$B$3:$C$5</definedName>
    <definedName name="Arrow">Flèches!$A$3:$E$475</definedName>
    <definedName name="Arrow_Dynamic">Fournisseurs!$K$32:$K$60</definedName>
    <definedName name="Aurel">Fournisseurs!$C$32:$C$76</definedName>
    <definedName name="Autre">Fournisseurs!#REF!</definedName>
    <definedName name="Autre_Tube_Fût">Fournisseurs!$A$32</definedName>
    <definedName name="Band">Param!$I$27:$I$45</definedName>
    <definedName name="Baumann">Fournisseurs!#REF!</definedName>
    <definedName name="Bearpaw">Fournisseurs!$E$32:$E$81</definedName>
    <definedName name="Beiter">Param!$M$17:$M$19</definedName>
    <definedName name="Beman">Fournisseurs!$D$32:$D$61</definedName>
    <definedName name="Berger_Ressort">Param!$L$27:$L$30</definedName>
    <definedName name="Branche_Corde_Taille">Param!$B$17:$D$24</definedName>
    <definedName name="Branche_Taille">Param!$B$17:$B$24</definedName>
    <definedName name="Branches_Type">Param!$E$17:$E$20</definedName>
    <definedName name="Byron_Ferguson">Fournisseurs!$F$32:$F$34</definedName>
    <definedName name="Carbon_Express">Fournisseurs!$G$32:$G$69</definedName>
    <definedName name="Carbon_Impact">Fournisseurs!$Q$32:$Q$45</definedName>
    <definedName name="Carbon_Tech">Fournisseurs!$H$32:$H$58</definedName>
    <definedName name="centershot">Param_DSC!$C$7:$D$17</definedName>
    <definedName name="corde" localSheetId="4">Param_DSC!$C$42:$D$44</definedName>
    <definedName name="corde">Param_DSC!$C$42:$D$44</definedName>
    <definedName name="Corde_Diamètre">Param!$E$27:$E$40</definedName>
    <definedName name="Corde_Matériau">Param!$D$27:$D$40</definedName>
    <definedName name="Corde_Nb_Brins">Param!$C$27:$C$33</definedName>
    <definedName name="Corde_tableau">Param!$D$27:$E$40</definedName>
    <definedName name="Corde_Type">Param!$B$27:$B$29</definedName>
    <definedName name="Cuivre">Param!$L$17:$L$20</definedName>
    <definedName name="diam">Param_DSC!$C$27:$D$38</definedName>
    <definedName name="Diamètre_Fut">Param!$B$48:$B$51</definedName>
    <definedName name="Diamètre_Fut_cm">Param!$B$48:$C$51</definedName>
    <definedName name="DSC_Type_Arc">Param_DSC!$C$20:$D$23</definedName>
    <definedName name="Easton">Fournisseurs!$I$32:$I$165</definedName>
    <definedName name="empenage">Param_DSC!$C$3:$D$4</definedName>
    <definedName name="Fabriquant">Flèches!$E$3:$M$184</definedName>
    <definedName name="Flèche_Marque">Fournisseurs!$C$6:$C$18</definedName>
    <definedName name="Flèches_Autre">Param!$K$17:$K$19</definedName>
    <definedName name="Goldtip">Fournisseurs!$J$32:$J$81</definedName>
    <definedName name="_xlnm.Print_Titles" localSheetId="4">Flèches!$2:$2</definedName>
    <definedName name="insert">Param_DSC!$C$47:$E$55</definedName>
    <definedName name="Insert_Liste">Param_DSC!$C$47:$C$55</definedName>
    <definedName name="Marque_DSC">Fournisseurs!$B$29:$M$29</definedName>
    <definedName name="Nock">Param!$I$17:$I$19</definedName>
    <definedName name="NockSet">Param!$F$27:$F$33</definedName>
    <definedName name="Plumes">Param_DSC!$C$3:$C$4</definedName>
    <definedName name="Poignée_Matériau">Param!$C$8:$C$11</definedName>
    <definedName name="Poignée_Taille">Param!$B$8:$B$14</definedName>
    <definedName name="Pouce_Gramme">Param_DSC!$D$63</definedName>
    <definedName name="Repose_flèche">Param!$F$17:$F$24</definedName>
    <definedName name="shaft">Flèches!$E$3:$L$475</definedName>
    <definedName name="Speed_Loop">Param!$N$17:$N$19</definedName>
    <definedName name="Stabilisation">Param!$G$17:$G$21</definedName>
    <definedName name="Système_Accroche">Param!$D$8:$D$12</definedName>
    <definedName name="TF">Param!$H$27:$H$45</definedName>
    <definedName name="Tranche_Fil">Param!$K$27:$K$31</definedName>
    <definedName name="Tranche_Fil_Diametre">Param!$G$27:$G$37</definedName>
    <definedName name="Type_Arc">Param!$B$3:$B$5</definedName>
    <definedName name="Type_Arc_Liste">Param_DSC!$C$20:$C$22</definedName>
    <definedName name="Type_Corde_Liste">Param_DSC!$C$42:$C$44</definedName>
    <definedName name="Victory">Fournisseurs!$L$32:$L$65</definedName>
    <definedName name="Visette">Param!$H$17:$H$19</definedName>
    <definedName name="Win_and_Win">Fournisseurs!$M$32:$M$37</definedName>
    <definedName name="_xlnm.Print_Area" localSheetId="2">DSC!$A$1:$R$21</definedName>
    <definedName name="_xlnm.Print_Area" localSheetId="0">'Fiche Matériel Archer'!$B$1:$J$62</definedName>
    <definedName name="_xlnm.Print_Area" localSheetId="4">Flèches!$A$1:$L$475</definedName>
    <definedName name="_xlnm.Print_Area" localSheetId="3">Fournisseurs!$A$2:$E$20</definedName>
    <definedName name="_xlnm.Print_Area" localSheetId="1">Viseur!$A$1:$E$22</definedName>
  </definedName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8" l="1"/>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483" i="6"/>
  <c r="R484" i="6"/>
  <c r="R485" i="6"/>
  <c r="R486" i="6"/>
  <c r="R487" i="6"/>
  <c r="R488" i="6"/>
  <c r="R489" i="6"/>
  <c r="R490" i="6"/>
  <c r="R491" i="6"/>
  <c r="R492" i="6"/>
  <c r="R493" i="6"/>
  <c r="R494" i="6"/>
  <c r="R495" i="6"/>
  <c r="R496"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452" i="6"/>
  <c r="R453" i="6"/>
  <c r="R454" i="6"/>
  <c r="R455" i="6"/>
  <c r="R456" i="6"/>
  <c r="R457" i="6"/>
  <c r="R458" i="6"/>
  <c r="R459" i="6"/>
  <c r="R460" i="6"/>
  <c r="R461" i="6"/>
  <c r="R462" i="6"/>
  <c r="R463" i="6"/>
  <c r="R464" i="6"/>
  <c r="R465" i="6"/>
  <c r="R466" i="6"/>
  <c r="R467" i="6"/>
  <c r="R468" i="6"/>
  <c r="R469" i="6"/>
  <c r="R470" i="6"/>
  <c r="R471" i="6"/>
  <c r="R472" i="6"/>
  <c r="R473" i="6"/>
  <c r="R474" i="6"/>
  <c r="R475"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79" i="6"/>
  <c r="C68" i="5"/>
  <c r="C69" i="5"/>
  <c r="C70" i="5"/>
  <c r="C71" i="5"/>
  <c r="C72" i="5"/>
  <c r="C74" i="5"/>
  <c r="C75" i="5"/>
  <c r="D75" i="5"/>
  <c r="E75" i="5" s="1"/>
  <c r="C76" i="5"/>
  <c r="D76" i="5"/>
  <c r="E76" i="5" s="1"/>
  <c r="K15" i="9"/>
  <c r="J15" i="9"/>
  <c r="G452" i="6"/>
  <c r="H452" i="6" s="1"/>
  <c r="G453" i="6"/>
  <c r="H453" i="6" s="1"/>
  <c r="G454" i="6"/>
  <c r="G455" i="6"/>
  <c r="H455" i="6" s="1"/>
  <c r="G456" i="6"/>
  <c r="H456" i="6" s="1"/>
  <c r="G457" i="6"/>
  <c r="H457" i="6" s="1"/>
  <c r="G458" i="6"/>
  <c r="H458" i="6" s="1"/>
  <c r="G459" i="6"/>
  <c r="H459" i="6" s="1"/>
  <c r="G460" i="6"/>
  <c r="G461" i="6"/>
  <c r="G462" i="6"/>
  <c r="H462" i="6" s="1"/>
  <c r="G463" i="6"/>
  <c r="H463" i="6" s="1"/>
  <c r="Q463" i="6"/>
  <c r="P463" i="6"/>
  <c r="J463" i="6"/>
  <c r="I463" i="6"/>
  <c r="Q462" i="6"/>
  <c r="P462" i="6"/>
  <c r="J462" i="6" s="1"/>
  <c r="I462" i="6"/>
  <c r="Q461" i="6"/>
  <c r="P461" i="6"/>
  <c r="J461" i="6"/>
  <c r="I461" i="6"/>
  <c r="H461" i="6"/>
  <c r="Q460" i="6"/>
  <c r="P460" i="6"/>
  <c r="J460" i="6" s="1"/>
  <c r="I460" i="6"/>
  <c r="H460" i="6"/>
  <c r="Q459" i="6"/>
  <c r="P459" i="6"/>
  <c r="J459" i="6"/>
  <c r="I459" i="6"/>
  <c r="Q458" i="6"/>
  <c r="P458" i="6"/>
  <c r="J458" i="6" s="1"/>
  <c r="I458" i="6"/>
  <c r="Q457" i="6"/>
  <c r="P457" i="6"/>
  <c r="J457" i="6" s="1"/>
  <c r="I457" i="6"/>
  <c r="Q456" i="6"/>
  <c r="P456" i="6"/>
  <c r="J456" i="6" s="1"/>
  <c r="I456" i="6"/>
  <c r="Q455" i="6"/>
  <c r="P455" i="6"/>
  <c r="J455" i="6" s="1"/>
  <c r="I455" i="6"/>
  <c r="Q454" i="6"/>
  <c r="P454" i="6"/>
  <c r="J454" i="6" s="1"/>
  <c r="I454" i="6"/>
  <c r="H454" i="6"/>
  <c r="Q453" i="6"/>
  <c r="P453" i="6"/>
  <c r="J453" i="6" s="1"/>
  <c r="I453" i="6"/>
  <c r="G211" i="6"/>
  <c r="H211" i="6" s="1"/>
  <c r="G212" i="6"/>
  <c r="H212" i="6" s="1"/>
  <c r="G213" i="6"/>
  <c r="H213" i="6" s="1"/>
  <c r="Q212" i="6"/>
  <c r="P212" i="6"/>
  <c r="J212" i="6" s="1"/>
  <c r="I212" i="6"/>
  <c r="Q218" i="6"/>
  <c r="P218" i="6"/>
  <c r="J218" i="6"/>
  <c r="I218" i="6"/>
  <c r="G218" i="6"/>
  <c r="H218" i="6" s="1"/>
  <c r="Q219" i="6"/>
  <c r="P219" i="6"/>
  <c r="J219" i="6" s="1"/>
  <c r="I219" i="6"/>
  <c r="G219" i="6"/>
  <c r="H219" i="6" s="1"/>
  <c r="Q216" i="6"/>
  <c r="P216" i="6"/>
  <c r="J216" i="6" s="1"/>
  <c r="I216" i="6"/>
  <c r="G216" i="6"/>
  <c r="H216" i="6" s="1"/>
  <c r="Q217" i="6"/>
  <c r="P217" i="6"/>
  <c r="J217" i="6" s="1"/>
  <c r="I217" i="6"/>
  <c r="G217" i="6"/>
  <c r="H217" i="6" s="1"/>
  <c r="Q214" i="6"/>
  <c r="P214" i="6"/>
  <c r="J214" i="6" s="1"/>
  <c r="I214" i="6"/>
  <c r="G214" i="6"/>
  <c r="H214" i="6" s="1"/>
  <c r="Q215" i="6"/>
  <c r="P215" i="6"/>
  <c r="J215" i="6" s="1"/>
  <c r="D74" i="5" s="1"/>
  <c r="E74" i="5" s="1"/>
  <c r="I215" i="6"/>
  <c r="G215" i="6"/>
  <c r="H215" i="6" s="1"/>
  <c r="Q226" i="6"/>
  <c r="P226" i="6"/>
  <c r="J226" i="6" s="1"/>
  <c r="I226" i="6"/>
  <c r="G226" i="6"/>
  <c r="H226" i="6" s="1"/>
  <c r="Q227" i="6"/>
  <c r="P227" i="6"/>
  <c r="J227" i="6" s="1"/>
  <c r="I227" i="6"/>
  <c r="G227" i="6"/>
  <c r="H227" i="6" s="1"/>
  <c r="Q224" i="6"/>
  <c r="P224" i="6"/>
  <c r="J224" i="6"/>
  <c r="I224" i="6"/>
  <c r="G224" i="6"/>
  <c r="H224" i="6" s="1"/>
  <c r="Q225" i="6"/>
  <c r="P225" i="6"/>
  <c r="J225" i="6" s="1"/>
  <c r="I225" i="6"/>
  <c r="G225" i="6"/>
  <c r="H225" i="6" s="1"/>
  <c r="Q222" i="6"/>
  <c r="P222" i="6"/>
  <c r="J222" i="6" s="1"/>
  <c r="I222" i="6"/>
  <c r="G222" i="6"/>
  <c r="H222" i="6" s="1"/>
  <c r="Q223" i="6"/>
  <c r="P223" i="6"/>
  <c r="J223" i="6" s="1"/>
  <c r="I223" i="6"/>
  <c r="G223" i="6"/>
  <c r="H223" i="6" s="1"/>
  <c r="Q220" i="6"/>
  <c r="P220" i="6"/>
  <c r="J220" i="6" s="1"/>
  <c r="I220" i="6"/>
  <c r="G220" i="6"/>
  <c r="H220" i="6" s="1"/>
  <c r="Q221" i="6"/>
  <c r="P221" i="6"/>
  <c r="J221" i="6" s="1"/>
  <c r="I221" i="6"/>
  <c r="G221" i="6"/>
  <c r="H221" i="6" s="1"/>
  <c r="Q205" i="6"/>
  <c r="P205" i="6"/>
  <c r="J205" i="6" s="1"/>
  <c r="I205" i="6"/>
  <c r="G205" i="6"/>
  <c r="H205" i="6" s="1"/>
  <c r="Q204" i="6"/>
  <c r="P204" i="6"/>
  <c r="J204" i="6" s="1"/>
  <c r="I204" i="6"/>
  <c r="G204" i="6"/>
  <c r="H204" i="6" s="1"/>
  <c r="Q203" i="6"/>
  <c r="P203" i="6"/>
  <c r="J203" i="6" s="1"/>
  <c r="I203" i="6"/>
  <c r="G203" i="6"/>
  <c r="H203" i="6" s="1"/>
  <c r="Q206" i="6"/>
  <c r="P206" i="6"/>
  <c r="J206" i="6" s="1"/>
  <c r="I206" i="6"/>
  <c r="G206" i="6"/>
  <c r="H206" i="6" s="1"/>
  <c r="Q201" i="6"/>
  <c r="P201" i="6"/>
  <c r="J201" i="6" s="1"/>
  <c r="I201" i="6"/>
  <c r="G201" i="6"/>
  <c r="H201" i="6" s="1"/>
  <c r="Q210" i="6"/>
  <c r="P210" i="6"/>
  <c r="J210" i="6" s="1"/>
  <c r="I210" i="6"/>
  <c r="G210" i="6"/>
  <c r="H210" i="6" s="1"/>
  <c r="Q209" i="6"/>
  <c r="P209" i="6"/>
  <c r="J209" i="6" s="1"/>
  <c r="I209" i="6"/>
  <c r="G209" i="6"/>
  <c r="H209" i="6" s="1"/>
  <c r="Q207" i="6"/>
  <c r="P207" i="6"/>
  <c r="J207" i="6" s="1"/>
  <c r="I207" i="6"/>
  <c r="G207" i="6"/>
  <c r="H207" i="6" s="1"/>
  <c r="Q202" i="6"/>
  <c r="P202" i="6"/>
  <c r="J202" i="6" s="1"/>
  <c r="I202" i="6"/>
  <c r="G202" i="6"/>
  <c r="H202" i="6" s="1"/>
  <c r="Q464" i="6"/>
  <c r="P464" i="6"/>
  <c r="J464" i="6" s="1"/>
  <c r="I464" i="6"/>
  <c r="G464" i="6"/>
  <c r="H464" i="6" s="1"/>
  <c r="Q452" i="6"/>
  <c r="P452" i="6"/>
  <c r="J452" i="6" s="1"/>
  <c r="I452" i="6"/>
  <c r="Q213" i="6"/>
  <c r="P213" i="6"/>
  <c r="J213" i="6" s="1"/>
  <c r="I213" i="6"/>
  <c r="Q211" i="6"/>
  <c r="P211" i="6"/>
  <c r="J211" i="6" s="1"/>
  <c r="I211" i="6"/>
  <c r="Q469" i="6"/>
  <c r="P469" i="6"/>
  <c r="J469" i="6" s="1"/>
  <c r="I469" i="6"/>
  <c r="G469" i="6"/>
  <c r="H469" i="6" s="1"/>
  <c r="Q468" i="6"/>
  <c r="P468" i="6"/>
  <c r="J468" i="6" s="1"/>
  <c r="I468" i="6"/>
  <c r="G468" i="6"/>
  <c r="H468" i="6" s="1"/>
  <c r="Q467" i="6"/>
  <c r="P467" i="6"/>
  <c r="J467" i="6" s="1"/>
  <c r="I467" i="6"/>
  <c r="G467" i="6"/>
  <c r="H467" i="6" s="1"/>
  <c r="Q466" i="6"/>
  <c r="P466" i="6"/>
  <c r="J466" i="6" s="1"/>
  <c r="I466" i="6"/>
  <c r="G466" i="6"/>
  <c r="H466" i="6" s="1"/>
  <c r="Q465" i="6"/>
  <c r="P465" i="6"/>
  <c r="J465" i="6" s="1"/>
  <c r="I465" i="6"/>
  <c r="G465" i="6"/>
  <c r="H465" i="6" s="1"/>
  <c r="Q474" i="6"/>
  <c r="P474" i="6"/>
  <c r="J474" i="6" s="1"/>
  <c r="I474" i="6"/>
  <c r="G474" i="6"/>
  <c r="H474" i="6" s="1"/>
  <c r="Q473" i="6"/>
  <c r="P473" i="6"/>
  <c r="J473" i="6" s="1"/>
  <c r="I473" i="6"/>
  <c r="G473" i="6"/>
  <c r="H473" i="6" s="1"/>
  <c r="Q472" i="6"/>
  <c r="P472" i="6"/>
  <c r="J472" i="6" s="1"/>
  <c r="I472" i="6"/>
  <c r="G472" i="6"/>
  <c r="H472" i="6" s="1"/>
  <c r="Q471" i="6"/>
  <c r="P471" i="6"/>
  <c r="J471" i="6" s="1"/>
  <c r="I471" i="6"/>
  <c r="G471" i="6"/>
  <c r="H471" i="6" s="1"/>
  <c r="Q470" i="6"/>
  <c r="P470" i="6"/>
  <c r="J470" i="6" s="1"/>
  <c r="I470" i="6"/>
  <c r="G470" i="6"/>
  <c r="H470" i="6" s="1"/>
  <c r="Q208" i="6"/>
  <c r="P208" i="6"/>
  <c r="J208" i="6" s="1"/>
  <c r="I208" i="6"/>
  <c r="G208" i="6"/>
  <c r="H208" i="6" s="1"/>
  <c r="O79" i="6"/>
  <c r="T79" i="6" s="1"/>
  <c r="N123" i="6"/>
  <c r="S123" i="6" s="1"/>
  <c r="T133" i="6"/>
  <c r="T141" i="6"/>
  <c r="T140" i="6"/>
  <c r="T148" i="6"/>
  <c r="T147" i="6"/>
  <c r="T146" i="6"/>
  <c r="T145" i="6"/>
  <c r="T144" i="6"/>
  <c r="T143" i="6"/>
  <c r="T142" i="6"/>
  <c r="T139" i="6"/>
  <c r="T138" i="6"/>
  <c r="T137" i="6"/>
  <c r="T136" i="6"/>
  <c r="T135" i="6"/>
  <c r="T134" i="6"/>
  <c r="T132" i="6"/>
  <c r="T131" i="6"/>
  <c r="T130" i="6"/>
  <c r="T129" i="6"/>
  <c r="G156" i="6"/>
  <c r="H156" i="6" s="1"/>
  <c r="I156" i="6"/>
  <c r="P156" i="6"/>
  <c r="J156" i="6" s="1"/>
  <c r="Q156" i="6"/>
  <c r="G157" i="6"/>
  <c r="H157" i="6" s="1"/>
  <c r="I157" i="6"/>
  <c r="P157" i="6"/>
  <c r="J157" i="6" s="1"/>
  <c r="Q157" i="6"/>
  <c r="G158" i="6"/>
  <c r="H158" i="6"/>
  <c r="I158" i="6"/>
  <c r="P158" i="6"/>
  <c r="J158" i="6" s="1"/>
  <c r="Q158" i="6"/>
  <c r="G159" i="6"/>
  <c r="H159" i="6" s="1"/>
  <c r="I159" i="6"/>
  <c r="P159" i="6"/>
  <c r="J159" i="6" s="1"/>
  <c r="Q159" i="6"/>
  <c r="Q148" i="6"/>
  <c r="P148" i="6"/>
  <c r="J148" i="6" s="1"/>
  <c r="I148" i="6"/>
  <c r="G148" i="6"/>
  <c r="H148" i="6" s="1"/>
  <c r="L17" i="9"/>
  <c r="K17" i="9"/>
  <c r="P17" i="9" s="1"/>
  <c r="J17" i="9"/>
  <c r="K16" i="9"/>
  <c r="O16" i="9" s="1"/>
  <c r="J16" i="9"/>
  <c r="K13" i="9"/>
  <c r="K12" i="9"/>
  <c r="N12" i="9" s="1"/>
  <c r="K11" i="9"/>
  <c r="K10" i="9"/>
  <c r="K9" i="9"/>
  <c r="O9" i="9" s="1"/>
  <c r="K8" i="9"/>
  <c r="N8" i="9" s="1"/>
  <c r="G4" i="9"/>
  <c r="E14" i="8"/>
  <c r="E6" i="8"/>
  <c r="E8" i="8"/>
  <c r="E16" i="8"/>
  <c r="E17" i="8"/>
  <c r="E15" i="8"/>
  <c r="E13" i="8"/>
  <c r="E20" i="8"/>
  <c r="E10" i="8"/>
  <c r="E7" i="8"/>
  <c r="E11" i="8"/>
  <c r="E12" i="8"/>
  <c r="E9" i="8"/>
  <c r="Q15" i="9" l="1"/>
  <c r="M11" i="9"/>
  <c r="M13" i="9"/>
  <c r="M15" i="9"/>
  <c r="N15" i="9"/>
  <c r="O15" i="9"/>
  <c r="P15" i="9" s="1"/>
  <c r="N11" i="9"/>
  <c r="O11" i="9"/>
  <c r="P11" i="9" s="1"/>
  <c r="P16" i="9"/>
  <c r="M12" i="9"/>
  <c r="Q17" i="9"/>
  <c r="N13" i="9"/>
  <c r="Q16" i="9"/>
  <c r="O13" i="9"/>
  <c r="P13" i="9" s="1"/>
  <c r="O8" i="9"/>
  <c r="P8" i="9" s="1"/>
  <c r="M10" i="9"/>
  <c r="O12" i="9"/>
  <c r="P12" i="9" s="1"/>
  <c r="M9" i="9"/>
  <c r="N10" i="9"/>
  <c r="N9" i="9"/>
  <c r="O10" i="9"/>
  <c r="P10" i="9" s="1"/>
  <c r="M17" i="9"/>
  <c r="M16" i="9"/>
  <c r="N17" i="9"/>
  <c r="P9" i="9"/>
  <c r="N16" i="9"/>
  <c r="O17" i="9"/>
  <c r="M8" i="9"/>
  <c r="L16" i="9"/>
  <c r="L13" i="9"/>
  <c r="L12" i="9"/>
  <c r="L11" i="9"/>
  <c r="L10" i="9"/>
  <c r="L9" i="9"/>
  <c r="K4" i="6"/>
  <c r="C73" i="5" s="1"/>
  <c r="J4" i="6"/>
  <c r="D73" i="5" s="1"/>
  <c r="E73" i="5" s="1"/>
  <c r="G4" i="6"/>
  <c r="G19" i="9"/>
  <c r="H4" i="6" s="1"/>
  <c r="F4" i="6" l="1"/>
  <c r="J14" i="9"/>
  <c r="I4" i="6"/>
  <c r="K14" i="9"/>
  <c r="Q14" i="9"/>
  <c r="P161" i="6"/>
  <c r="P162" i="6"/>
  <c r="E8" i="5"/>
  <c r="E9" i="5"/>
  <c r="E10" i="5"/>
  <c r="E11" i="5"/>
  <c r="E12" i="5"/>
  <c r="E13" i="5"/>
  <c r="E14" i="5"/>
  <c r="E15" i="5"/>
  <c r="E16" i="5"/>
  <c r="E17" i="5"/>
  <c r="E7" i="5"/>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7" i="6"/>
  <c r="Q6" i="6"/>
  <c r="Q5"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5" i="6"/>
  <c r="Q154" i="6"/>
  <c r="Q153" i="6"/>
  <c r="Q152" i="6"/>
  <c r="Q151" i="6"/>
  <c r="Q150" i="6"/>
  <c r="Q149" i="6"/>
  <c r="Q147" i="6"/>
  <c r="Q146" i="6"/>
  <c r="Q145" i="6"/>
  <c r="Q144" i="6"/>
  <c r="Q143" i="6"/>
  <c r="Q142" i="6"/>
  <c r="Q141" i="6"/>
  <c r="Q140" i="6"/>
  <c r="Q139" i="6"/>
  <c r="Q138" i="6"/>
  <c r="Q137" i="6"/>
  <c r="Q136" i="6"/>
  <c r="Q135" i="6"/>
  <c r="Q134" i="6"/>
  <c r="Q133" i="6"/>
  <c r="Q132" i="6"/>
  <c r="Q131" i="6"/>
  <c r="Q130" i="6"/>
  <c r="Q129" i="6"/>
  <c r="Q191" i="6"/>
  <c r="Q190" i="6"/>
  <c r="Q450" i="6"/>
  <c r="Q449" i="6"/>
  <c r="Q448" i="6"/>
  <c r="Q447" i="6"/>
  <c r="Q446" i="6"/>
  <c r="Q445" i="6"/>
  <c r="Q444" i="6"/>
  <c r="Q443" i="6"/>
  <c r="Q442" i="6"/>
  <c r="Q441" i="6"/>
  <c r="Q440" i="6"/>
  <c r="Q439" i="6"/>
  <c r="Q438" i="6"/>
  <c r="Q437" i="6"/>
  <c r="Q436" i="6"/>
  <c r="Q435" i="6"/>
  <c r="Q434" i="6"/>
  <c r="Q433" i="6"/>
  <c r="Q432" i="6"/>
  <c r="Q431" i="6"/>
  <c r="Q430" i="6"/>
  <c r="Q429" i="6"/>
  <c r="Q428" i="6"/>
  <c r="Q427" i="6"/>
  <c r="Q426" i="6"/>
  <c r="Q425" i="6"/>
  <c r="Q424" i="6"/>
  <c r="Q423" i="6"/>
  <c r="Q422" i="6"/>
  <c r="Q421" i="6"/>
  <c r="Q420" i="6"/>
  <c r="Q419" i="6"/>
  <c r="Q418" i="6"/>
  <c r="Q417" i="6"/>
  <c r="Q416" i="6"/>
  <c r="Q415" i="6"/>
  <c r="Q414" i="6"/>
  <c r="Q413" i="6"/>
  <c r="Q412" i="6"/>
  <c r="Q411" i="6"/>
  <c r="Q410" i="6"/>
  <c r="Q409" i="6"/>
  <c r="Q408" i="6"/>
  <c r="Q407" i="6"/>
  <c r="Q406" i="6"/>
  <c r="Q405" i="6"/>
  <c r="Q404" i="6"/>
  <c r="Q403" i="6"/>
  <c r="Q402" i="6"/>
  <c r="Q401" i="6"/>
  <c r="Q400" i="6"/>
  <c r="Q399" i="6"/>
  <c r="Q398" i="6"/>
  <c r="Q397" i="6"/>
  <c r="Q396" i="6"/>
  <c r="Q395" i="6"/>
  <c r="Q394" i="6"/>
  <c r="Q393" i="6"/>
  <c r="Q392" i="6"/>
  <c r="Q391" i="6"/>
  <c r="Q390" i="6"/>
  <c r="Q389" i="6"/>
  <c r="Q388" i="6"/>
  <c r="Q387" i="6"/>
  <c r="Q386" i="6"/>
  <c r="Q385" i="6"/>
  <c r="Q384" i="6"/>
  <c r="Q383" i="6"/>
  <c r="Q382" i="6"/>
  <c r="Q381" i="6"/>
  <c r="Q380" i="6"/>
  <c r="Q379" i="6"/>
  <c r="Q378" i="6"/>
  <c r="Q377" i="6"/>
  <c r="Q376" i="6"/>
  <c r="Q375" i="6"/>
  <c r="Q374" i="6"/>
  <c r="Q373" i="6"/>
  <c r="Q372" i="6"/>
  <c r="Q371" i="6"/>
  <c r="Q370" i="6"/>
  <c r="Q369" i="6"/>
  <c r="Q368" i="6"/>
  <c r="Q367" i="6"/>
  <c r="Q366" i="6"/>
  <c r="Q365" i="6"/>
  <c r="Q364" i="6"/>
  <c r="Q363" i="6"/>
  <c r="Q362" i="6"/>
  <c r="Q361" i="6"/>
  <c r="Q360" i="6"/>
  <c r="Q359" i="6"/>
  <c r="Q358" i="6"/>
  <c r="Q357" i="6"/>
  <c r="Q356" i="6"/>
  <c r="Q355" i="6"/>
  <c r="Q354" i="6"/>
  <c r="Q353" i="6"/>
  <c r="Q352" i="6"/>
  <c r="Q351" i="6"/>
  <c r="Q350" i="6"/>
  <c r="Q349" i="6"/>
  <c r="Q348" i="6"/>
  <c r="Q347" i="6"/>
  <c r="Q346" i="6"/>
  <c r="Q345" i="6"/>
  <c r="Q344" i="6"/>
  <c r="Q343" i="6"/>
  <c r="Q342" i="6"/>
  <c r="Q341" i="6"/>
  <c r="Q340" i="6"/>
  <c r="Q339" i="6"/>
  <c r="Q338" i="6"/>
  <c r="Q337" i="6"/>
  <c r="Q336" i="6"/>
  <c r="Q335" i="6"/>
  <c r="Q334" i="6"/>
  <c r="Q333" i="6"/>
  <c r="Q332" i="6"/>
  <c r="Q331" i="6"/>
  <c r="Q330" i="6"/>
  <c r="Q329" i="6"/>
  <c r="Q328" i="6"/>
  <c r="Q327" i="6"/>
  <c r="Q326" i="6"/>
  <c r="Q325" i="6"/>
  <c r="Q324" i="6"/>
  <c r="Q323" i="6"/>
  <c r="Q322" i="6"/>
  <c r="Q321" i="6"/>
  <c r="Q320" i="6"/>
  <c r="Q319" i="6"/>
  <c r="Q318" i="6"/>
  <c r="Q317" i="6"/>
  <c r="Q316" i="6"/>
  <c r="Q315" i="6"/>
  <c r="Q314" i="6"/>
  <c r="Q313" i="6"/>
  <c r="Q312" i="6"/>
  <c r="Q311" i="6"/>
  <c r="Q310" i="6"/>
  <c r="Q309" i="6"/>
  <c r="Q308" i="6"/>
  <c r="Q307" i="6"/>
  <c r="Q306" i="6"/>
  <c r="Q305" i="6"/>
  <c r="Q304" i="6"/>
  <c r="Q303" i="6"/>
  <c r="Q302" i="6"/>
  <c r="Q301" i="6"/>
  <c r="Q300" i="6"/>
  <c r="Q299" i="6"/>
  <c r="Q298" i="6"/>
  <c r="Q297" i="6"/>
  <c r="Q296" i="6"/>
  <c r="Q295" i="6"/>
  <c r="Q294" i="6"/>
  <c r="Q293" i="6"/>
  <c r="Q292" i="6"/>
  <c r="Q291" i="6"/>
  <c r="Q290" i="6"/>
  <c r="Q289" i="6"/>
  <c r="Q288" i="6"/>
  <c r="Q287" i="6"/>
  <c r="Q286" i="6"/>
  <c r="Q285" i="6"/>
  <c r="Q284" i="6"/>
  <c r="Q283" i="6"/>
  <c r="Q282" i="6"/>
  <c r="Q281" i="6"/>
  <c r="Q280" i="6"/>
  <c r="Q279" i="6"/>
  <c r="Q278" i="6"/>
  <c r="Q277" i="6"/>
  <c r="Q276" i="6"/>
  <c r="Q275" i="6"/>
  <c r="Q274" i="6"/>
  <c r="Q273" i="6"/>
  <c r="Q272" i="6"/>
  <c r="Q271" i="6"/>
  <c r="Q270" i="6"/>
  <c r="Q269" i="6"/>
  <c r="Q268" i="6"/>
  <c r="Q267" i="6"/>
  <c r="Q266" i="6"/>
  <c r="Q265" i="6"/>
  <c r="Q264" i="6"/>
  <c r="Q263" i="6"/>
  <c r="Q262" i="6"/>
  <c r="Q261" i="6"/>
  <c r="Q260" i="6"/>
  <c r="Q259" i="6"/>
  <c r="Q258" i="6"/>
  <c r="Q257" i="6"/>
  <c r="Q256" i="6"/>
  <c r="Q255" i="6"/>
  <c r="Q254" i="6"/>
  <c r="Q253" i="6"/>
  <c r="Q252" i="6"/>
  <c r="Q251" i="6"/>
  <c r="Q250" i="6"/>
  <c r="Q249" i="6"/>
  <c r="Q248" i="6"/>
  <c r="Q247" i="6"/>
  <c r="Q246" i="6"/>
  <c r="Q245" i="6"/>
  <c r="Q244" i="6"/>
  <c r="Q243" i="6"/>
  <c r="Q242" i="6"/>
  <c r="Q241" i="6"/>
  <c r="Q240" i="6"/>
  <c r="Q239" i="6"/>
  <c r="Q238" i="6"/>
  <c r="Q237" i="6"/>
  <c r="Q236" i="6"/>
  <c r="Q235" i="6"/>
  <c r="Q234" i="6"/>
  <c r="Q233" i="6"/>
  <c r="Q232" i="6"/>
  <c r="Q231" i="6"/>
  <c r="Q230" i="6"/>
  <c r="Q229" i="6"/>
  <c r="Q228" i="6"/>
  <c r="Q200" i="6"/>
  <c r="Q199" i="6"/>
  <c r="Q198" i="6"/>
  <c r="Q197" i="6"/>
  <c r="Q196" i="6"/>
  <c r="Q195" i="6"/>
  <c r="Q194" i="6"/>
  <c r="Q193" i="6"/>
  <c r="Q192" i="6"/>
  <c r="Q487" i="6"/>
  <c r="Q488" i="6"/>
  <c r="Q489" i="6"/>
  <c r="Q483" i="6"/>
  <c r="Q484" i="6"/>
  <c r="Q485" i="6"/>
  <c r="Q486" i="6"/>
  <c r="Q491" i="6"/>
  <c r="Q490" i="6"/>
  <c r="Q496" i="6"/>
  <c r="Q495" i="6"/>
  <c r="Q494" i="6"/>
  <c r="Q493" i="6"/>
  <c r="Q492" i="6"/>
  <c r="Q475" i="6"/>
  <c r="Q451" i="6"/>
  <c r="L14" i="9" l="1"/>
  <c r="L15" i="9"/>
  <c r="N14" i="9"/>
  <c r="O14" i="9"/>
  <c r="P14" i="9" s="1"/>
  <c r="M14" i="9"/>
  <c r="R418" i="2"/>
  <c r="R419" i="2"/>
  <c r="R420" i="2"/>
  <c r="R421" i="2"/>
  <c r="R422" i="2"/>
  <c r="R423" i="2"/>
  <c r="M422" i="5"/>
  <c r="M423" i="5"/>
  <c r="M424" i="5"/>
  <c r="M425" i="5"/>
  <c r="M426" i="5"/>
  <c r="M427" i="5"/>
  <c r="T444" i="8"/>
  <c r="T445" i="8"/>
  <c r="T446" i="8"/>
  <c r="T447" i="8"/>
  <c r="T448" i="8"/>
  <c r="T449" i="8"/>
  <c r="R416" i="2"/>
  <c r="R417" i="2"/>
  <c r="M420" i="5"/>
  <c r="M421" i="5"/>
  <c r="T442" i="8"/>
  <c r="T443" i="8"/>
  <c r="R410" i="2"/>
  <c r="R411" i="2"/>
  <c r="R412" i="2"/>
  <c r="R413" i="2"/>
  <c r="R414" i="2"/>
  <c r="R415" i="2"/>
  <c r="M414" i="5"/>
  <c r="M415" i="5"/>
  <c r="M416" i="5"/>
  <c r="M417" i="5"/>
  <c r="M418" i="5"/>
  <c r="M419" i="5"/>
  <c r="T436" i="8"/>
  <c r="T437" i="8"/>
  <c r="T438" i="8"/>
  <c r="T439" i="8"/>
  <c r="T440" i="8"/>
  <c r="T441" i="8"/>
  <c r="R406" i="2"/>
  <c r="R407" i="2"/>
  <c r="R408" i="2"/>
  <c r="R409" i="2"/>
  <c r="M410" i="5"/>
  <c r="M411" i="5"/>
  <c r="M412" i="5"/>
  <c r="M413" i="5"/>
  <c r="T432" i="8"/>
  <c r="T433" i="8"/>
  <c r="T434" i="8"/>
  <c r="T435" i="8"/>
  <c r="R403" i="2"/>
  <c r="R404" i="2"/>
  <c r="R405" i="2"/>
  <c r="M407" i="5"/>
  <c r="M408" i="5"/>
  <c r="M409" i="5"/>
  <c r="T429" i="8"/>
  <c r="T430" i="8"/>
  <c r="T431" i="8"/>
  <c r="R401" i="2"/>
  <c r="R402" i="2"/>
  <c r="M405" i="5"/>
  <c r="M406" i="5"/>
  <c r="T427" i="8"/>
  <c r="T428" i="8"/>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I13" i="6"/>
  <c r="I14" i="6"/>
  <c r="I15" i="6"/>
  <c r="I17" i="6"/>
  <c r="I16" i="6"/>
  <c r="I32" i="6"/>
  <c r="I33" i="6"/>
  <c r="I10" i="6"/>
  <c r="I9" i="6"/>
  <c r="I11" i="6"/>
  <c r="I8" i="6"/>
  <c r="I6" i="6"/>
  <c r="I7" i="6"/>
  <c r="I5" i="6"/>
  <c r="I31" i="6"/>
  <c r="I29" i="6"/>
  <c r="I28" i="6"/>
  <c r="I27" i="6"/>
  <c r="I26" i="6"/>
  <c r="I30" i="6"/>
  <c r="I18" i="6"/>
  <c r="I19" i="6"/>
  <c r="I25" i="6"/>
  <c r="I23" i="6"/>
  <c r="I24" i="6"/>
  <c r="I22" i="6"/>
  <c r="I21" i="6"/>
  <c r="I20" i="6"/>
  <c r="I487" i="6"/>
  <c r="I488" i="6"/>
  <c r="I489" i="6"/>
  <c r="I483" i="6"/>
  <c r="I484" i="6"/>
  <c r="I485" i="6"/>
  <c r="I486" i="6"/>
  <c r="I491" i="6"/>
  <c r="I490" i="6"/>
  <c r="I496" i="6"/>
  <c r="I495" i="6"/>
  <c r="I494" i="6"/>
  <c r="I493" i="6"/>
  <c r="I492" i="6"/>
  <c r="I475" i="6"/>
  <c r="F395" i="2"/>
  <c r="F421" i="8"/>
  <c r="I12" i="6"/>
  <c r="R396" i="2"/>
  <c r="R397" i="2"/>
  <c r="R398" i="2"/>
  <c r="R399" i="2"/>
  <c r="R400" i="2"/>
  <c r="M400" i="5"/>
  <c r="M401" i="5"/>
  <c r="M402" i="5"/>
  <c r="M403" i="5"/>
  <c r="M404" i="5"/>
  <c r="T422" i="8"/>
  <c r="T423" i="8"/>
  <c r="T424" i="8"/>
  <c r="T425" i="8"/>
  <c r="T426" i="8"/>
  <c r="R395" i="2"/>
  <c r="M399" i="5"/>
  <c r="T421" i="8"/>
  <c r="O128" i="6"/>
  <c r="T128" i="6" s="1"/>
  <c r="O127" i="6"/>
  <c r="T127" i="6" s="1"/>
  <c r="P12" i="6"/>
  <c r="P13" i="6"/>
  <c r="P14" i="6"/>
  <c r="P15" i="6"/>
  <c r="P17" i="6"/>
  <c r="P16" i="6"/>
  <c r="C58" i="5" l="1"/>
  <c r="P128" i="6" l="1"/>
  <c r="J128" i="6" s="1"/>
  <c r="N128" i="6"/>
  <c r="S128" i="6" s="1"/>
  <c r="P127" i="6"/>
  <c r="J127" i="6" s="1"/>
  <c r="N127" i="6"/>
  <c r="S127" i="6" s="1"/>
  <c r="O126" i="6"/>
  <c r="N126" i="6"/>
  <c r="S126" i="6" s="1"/>
  <c r="O125" i="6"/>
  <c r="N125" i="6"/>
  <c r="S125" i="6" s="1"/>
  <c r="I128" i="6"/>
  <c r="G128" i="6"/>
  <c r="H128" i="6" s="1"/>
  <c r="I127" i="6"/>
  <c r="G127" i="6"/>
  <c r="H127" i="6" s="1"/>
  <c r="I126" i="6"/>
  <c r="G126" i="6"/>
  <c r="H126" i="6" s="1"/>
  <c r="I125" i="6"/>
  <c r="G125" i="6"/>
  <c r="H125" i="6" s="1"/>
  <c r="P27" i="6"/>
  <c r="J27" i="6" s="1"/>
  <c r="G27" i="6"/>
  <c r="H27" i="6" s="1"/>
  <c r="P28" i="6"/>
  <c r="J28" i="6" s="1"/>
  <c r="G28" i="6"/>
  <c r="H28" i="6" s="1"/>
  <c r="P29" i="6"/>
  <c r="J29" i="6" s="1"/>
  <c r="G29" i="6"/>
  <c r="H29" i="6" s="1"/>
  <c r="P31" i="6"/>
  <c r="J31" i="6" s="1"/>
  <c r="G31" i="6"/>
  <c r="H31" i="6" s="1"/>
  <c r="P5" i="6"/>
  <c r="J5" i="6" s="1"/>
  <c r="G5" i="6"/>
  <c r="H5" i="6" s="1"/>
  <c r="P7" i="6"/>
  <c r="J7" i="6" s="1"/>
  <c r="G7" i="6"/>
  <c r="H7" i="6" s="1"/>
  <c r="P6" i="6"/>
  <c r="J6" i="6" s="1"/>
  <c r="G6" i="6"/>
  <c r="H6" i="6" s="1"/>
  <c r="P8" i="6"/>
  <c r="J8" i="6" s="1"/>
  <c r="G8" i="6"/>
  <c r="H8" i="6" s="1"/>
  <c r="P11" i="6"/>
  <c r="J11" i="6" s="1"/>
  <c r="G11" i="6"/>
  <c r="H11" i="6" s="1"/>
  <c r="P9" i="6"/>
  <c r="J9" i="6" s="1"/>
  <c r="G9" i="6"/>
  <c r="H9" i="6" s="1"/>
  <c r="P10" i="6"/>
  <c r="J10" i="6" s="1"/>
  <c r="G10" i="6"/>
  <c r="H10" i="6" s="1"/>
  <c r="P33" i="6"/>
  <c r="J33" i="6" s="1"/>
  <c r="G33" i="6"/>
  <c r="H33" i="6" s="1"/>
  <c r="P32" i="6"/>
  <c r="J32" i="6" s="1"/>
  <c r="G32" i="6"/>
  <c r="H32" i="6" s="1"/>
  <c r="J14" i="6"/>
  <c r="G14" i="6"/>
  <c r="H14" i="6" s="1"/>
  <c r="J16" i="6"/>
  <c r="G16" i="6"/>
  <c r="H16" i="6" s="1"/>
  <c r="J17" i="6"/>
  <c r="G17" i="6"/>
  <c r="H17" i="6" s="1"/>
  <c r="J15" i="6"/>
  <c r="G15" i="6"/>
  <c r="H15" i="6" s="1"/>
  <c r="J13" i="6"/>
  <c r="G13" i="6"/>
  <c r="H13" i="6" s="1"/>
  <c r="J12" i="6"/>
  <c r="G12" i="6"/>
  <c r="H12" i="6" s="1"/>
  <c r="O88" i="6"/>
  <c r="N88" i="6"/>
  <c r="S88" i="6" s="1"/>
  <c r="I88" i="6"/>
  <c r="G88" i="6"/>
  <c r="H88" i="6" s="1"/>
  <c r="O87" i="6"/>
  <c r="N87" i="6"/>
  <c r="S87" i="6" s="1"/>
  <c r="I87" i="6"/>
  <c r="G87" i="6"/>
  <c r="H87" i="6" s="1"/>
  <c r="O86" i="6"/>
  <c r="N86" i="6"/>
  <c r="S86" i="6" s="1"/>
  <c r="I86" i="6"/>
  <c r="G86" i="6"/>
  <c r="H86" i="6" s="1"/>
  <c r="O85" i="6"/>
  <c r="N85" i="6"/>
  <c r="S85" i="6" s="1"/>
  <c r="I85" i="6"/>
  <c r="G85" i="6"/>
  <c r="H85" i="6" s="1"/>
  <c r="O84" i="6"/>
  <c r="N84" i="6"/>
  <c r="S84" i="6" s="1"/>
  <c r="I84" i="6"/>
  <c r="G84" i="6"/>
  <c r="H84" i="6" s="1"/>
  <c r="O93" i="6"/>
  <c r="N93" i="6"/>
  <c r="S93" i="6" s="1"/>
  <c r="I93" i="6"/>
  <c r="G93" i="6"/>
  <c r="H93" i="6" s="1"/>
  <c r="O92" i="6"/>
  <c r="N92" i="6"/>
  <c r="S92" i="6" s="1"/>
  <c r="I92" i="6"/>
  <c r="G92" i="6"/>
  <c r="H92" i="6" s="1"/>
  <c r="O91" i="6"/>
  <c r="N91" i="6"/>
  <c r="S91" i="6" s="1"/>
  <c r="I91" i="6"/>
  <c r="G91" i="6"/>
  <c r="H91" i="6" s="1"/>
  <c r="O90" i="6"/>
  <c r="N90" i="6"/>
  <c r="S90" i="6" s="1"/>
  <c r="I90" i="6"/>
  <c r="G90" i="6"/>
  <c r="H90" i="6" s="1"/>
  <c r="O89" i="6"/>
  <c r="N89" i="6"/>
  <c r="S89" i="6" s="1"/>
  <c r="I89" i="6"/>
  <c r="G89" i="6"/>
  <c r="H89" i="6" s="1"/>
  <c r="O124" i="6"/>
  <c r="N124" i="6"/>
  <c r="S124" i="6" s="1"/>
  <c r="I124" i="6"/>
  <c r="G124" i="6"/>
  <c r="H124" i="6" s="1"/>
  <c r="O123" i="6"/>
  <c r="I123" i="6"/>
  <c r="G123" i="6"/>
  <c r="H123" i="6" s="1"/>
  <c r="O122" i="6"/>
  <c r="N122" i="6"/>
  <c r="S122" i="6" s="1"/>
  <c r="I122" i="6"/>
  <c r="G122" i="6"/>
  <c r="H122" i="6" s="1"/>
  <c r="O121" i="6"/>
  <c r="N121" i="6"/>
  <c r="S121" i="6" s="1"/>
  <c r="I121" i="6"/>
  <c r="G121" i="6"/>
  <c r="H121" i="6" s="1"/>
  <c r="O120" i="6"/>
  <c r="N120" i="6"/>
  <c r="S120" i="6" s="1"/>
  <c r="I120" i="6"/>
  <c r="G120" i="6"/>
  <c r="H120" i="6" s="1"/>
  <c r="O98" i="6"/>
  <c r="N98" i="6"/>
  <c r="S98" i="6" s="1"/>
  <c r="I98" i="6"/>
  <c r="G98" i="6"/>
  <c r="H98" i="6" s="1"/>
  <c r="O97" i="6"/>
  <c r="N97" i="6"/>
  <c r="S97" i="6" s="1"/>
  <c r="I97" i="6"/>
  <c r="G97" i="6"/>
  <c r="H97" i="6" s="1"/>
  <c r="O96" i="6"/>
  <c r="N96" i="6"/>
  <c r="S96" i="6" s="1"/>
  <c r="I96" i="6"/>
  <c r="G96" i="6"/>
  <c r="H96" i="6" s="1"/>
  <c r="O95" i="6"/>
  <c r="N95" i="6"/>
  <c r="S95" i="6" s="1"/>
  <c r="I95" i="6"/>
  <c r="G95" i="6"/>
  <c r="H95" i="6" s="1"/>
  <c r="O94" i="6"/>
  <c r="N94" i="6"/>
  <c r="S94" i="6" s="1"/>
  <c r="I94" i="6"/>
  <c r="G94" i="6"/>
  <c r="H94" i="6" s="1"/>
  <c r="P475" i="6"/>
  <c r="P492" i="6"/>
  <c r="P493" i="6"/>
  <c r="P494" i="6"/>
  <c r="P495" i="6"/>
  <c r="P496" i="6"/>
  <c r="P490" i="6"/>
  <c r="J490" i="6" s="1"/>
  <c r="P491" i="6"/>
  <c r="J491" i="6" s="1"/>
  <c r="P486" i="6"/>
  <c r="J486" i="6" s="1"/>
  <c r="P485" i="6"/>
  <c r="J485" i="6" s="1"/>
  <c r="P484" i="6"/>
  <c r="J484" i="6" s="1"/>
  <c r="P483" i="6"/>
  <c r="J483" i="6" s="1"/>
  <c r="P489" i="6"/>
  <c r="J489" i="6" s="1"/>
  <c r="P488" i="6"/>
  <c r="J488" i="6" s="1"/>
  <c r="P487" i="6"/>
  <c r="J487" i="6" s="1"/>
  <c r="P20" i="6"/>
  <c r="J20" i="6" s="1"/>
  <c r="P21" i="6"/>
  <c r="J21" i="6" s="1"/>
  <c r="P22" i="6"/>
  <c r="J22" i="6" s="1"/>
  <c r="P24" i="6"/>
  <c r="J24" i="6" s="1"/>
  <c r="P23" i="6"/>
  <c r="J23" i="6" s="1"/>
  <c r="P25" i="6"/>
  <c r="J25" i="6" s="1"/>
  <c r="P19" i="6"/>
  <c r="J19" i="6" s="1"/>
  <c r="P18" i="6"/>
  <c r="J18" i="6" s="1"/>
  <c r="P30" i="6"/>
  <c r="J30" i="6" s="1"/>
  <c r="P26" i="6"/>
  <c r="J26" i="6" s="1"/>
  <c r="P79" i="6"/>
  <c r="J79" i="6" s="1"/>
  <c r="N79" i="6"/>
  <c r="S79" i="6" s="1"/>
  <c r="I79" i="6"/>
  <c r="G79" i="6"/>
  <c r="H79" i="6" s="1"/>
  <c r="O83" i="6"/>
  <c r="N83" i="6"/>
  <c r="S83" i="6" s="1"/>
  <c r="I83" i="6"/>
  <c r="G83" i="6"/>
  <c r="H83" i="6" s="1"/>
  <c r="O82" i="6"/>
  <c r="N82" i="6"/>
  <c r="S82" i="6" s="1"/>
  <c r="I82" i="6"/>
  <c r="G82" i="6"/>
  <c r="H82" i="6" s="1"/>
  <c r="O81" i="6"/>
  <c r="N81" i="6"/>
  <c r="S81" i="6" s="1"/>
  <c r="I81" i="6"/>
  <c r="G81" i="6"/>
  <c r="H81" i="6" s="1"/>
  <c r="O80" i="6"/>
  <c r="N80" i="6"/>
  <c r="S80" i="6" s="1"/>
  <c r="I80" i="6"/>
  <c r="G80" i="6"/>
  <c r="H80" i="6" s="1"/>
  <c r="G488" i="6"/>
  <c r="H488" i="6" s="1"/>
  <c r="G487" i="6"/>
  <c r="H487" i="6" s="1"/>
  <c r="G20" i="6"/>
  <c r="H20" i="6" s="1"/>
  <c r="G21" i="6"/>
  <c r="H21" i="6" s="1"/>
  <c r="G22" i="6"/>
  <c r="H22" i="6" s="1"/>
  <c r="G24" i="6"/>
  <c r="H24" i="6" s="1"/>
  <c r="G23" i="6"/>
  <c r="H23" i="6" s="1"/>
  <c r="G25" i="6"/>
  <c r="H25" i="6" s="1"/>
  <c r="G19" i="6"/>
  <c r="H19" i="6" s="1"/>
  <c r="G18" i="6"/>
  <c r="H18" i="6" s="1"/>
  <c r="G30" i="6"/>
  <c r="H30" i="6" s="1"/>
  <c r="G26" i="6"/>
  <c r="H26" i="6" s="1"/>
  <c r="O108" i="6"/>
  <c r="N108" i="6"/>
  <c r="S108" i="6" s="1"/>
  <c r="O107" i="6"/>
  <c r="N107" i="6"/>
  <c r="S107" i="6" s="1"/>
  <c r="O106" i="6"/>
  <c r="N106" i="6"/>
  <c r="S106" i="6" s="1"/>
  <c r="O112" i="6"/>
  <c r="N112" i="6"/>
  <c r="S112" i="6" s="1"/>
  <c r="O111" i="6"/>
  <c r="N111" i="6"/>
  <c r="S111" i="6" s="1"/>
  <c r="O110" i="6"/>
  <c r="N110" i="6"/>
  <c r="S110" i="6" s="1"/>
  <c r="O109" i="6"/>
  <c r="N109" i="6"/>
  <c r="S109" i="6" s="1"/>
  <c r="I108" i="6"/>
  <c r="G108" i="6"/>
  <c r="H108" i="6" s="1"/>
  <c r="I107" i="6"/>
  <c r="G107" i="6"/>
  <c r="H107" i="6" s="1"/>
  <c r="I106" i="6"/>
  <c r="G106" i="6"/>
  <c r="H106" i="6" s="1"/>
  <c r="I112" i="6"/>
  <c r="G112" i="6"/>
  <c r="H112" i="6" s="1"/>
  <c r="I111" i="6"/>
  <c r="G111" i="6"/>
  <c r="H111" i="6" s="1"/>
  <c r="I110" i="6"/>
  <c r="G110" i="6"/>
  <c r="H110" i="6" s="1"/>
  <c r="I109" i="6"/>
  <c r="G109" i="6"/>
  <c r="H109" i="6" s="1"/>
  <c r="O115" i="6"/>
  <c r="N115" i="6"/>
  <c r="S115" i="6" s="1"/>
  <c r="O114" i="6"/>
  <c r="N114" i="6"/>
  <c r="S114" i="6" s="1"/>
  <c r="O113" i="6"/>
  <c r="N113" i="6"/>
  <c r="S113" i="6" s="1"/>
  <c r="O119" i="6"/>
  <c r="N119" i="6"/>
  <c r="S119" i="6" s="1"/>
  <c r="O118" i="6"/>
  <c r="N118" i="6"/>
  <c r="S118" i="6" s="1"/>
  <c r="O117" i="6"/>
  <c r="N117" i="6"/>
  <c r="S117" i="6" s="1"/>
  <c r="O116" i="6"/>
  <c r="N116" i="6"/>
  <c r="S116" i="6" s="1"/>
  <c r="O104" i="6"/>
  <c r="T104" i="6" s="1"/>
  <c r="O105" i="6"/>
  <c r="O99" i="6"/>
  <c r="O100" i="6"/>
  <c r="O101" i="6"/>
  <c r="O102" i="6"/>
  <c r="O103" i="6"/>
  <c r="N103" i="6"/>
  <c r="S103" i="6" s="1"/>
  <c r="N104" i="6"/>
  <c r="S104" i="6" s="1"/>
  <c r="N105" i="6"/>
  <c r="S105" i="6" s="1"/>
  <c r="N99" i="6"/>
  <c r="S99" i="6" s="1"/>
  <c r="N100" i="6"/>
  <c r="S100" i="6" s="1"/>
  <c r="N101" i="6"/>
  <c r="S101" i="6" s="1"/>
  <c r="N102" i="6"/>
  <c r="S102" i="6" s="1"/>
  <c r="I119" i="6"/>
  <c r="G119" i="6"/>
  <c r="H119" i="6" s="1"/>
  <c r="I118" i="6"/>
  <c r="G118" i="6"/>
  <c r="H118" i="6" s="1"/>
  <c r="I117" i="6"/>
  <c r="G117" i="6"/>
  <c r="H117" i="6" s="1"/>
  <c r="I116" i="6"/>
  <c r="G116" i="6"/>
  <c r="H116" i="6" s="1"/>
  <c r="I101" i="6"/>
  <c r="G101" i="6"/>
  <c r="H101" i="6" s="1"/>
  <c r="I100" i="6"/>
  <c r="G100" i="6"/>
  <c r="H100" i="6" s="1"/>
  <c r="I99" i="6"/>
  <c r="G99" i="6"/>
  <c r="H99" i="6" s="1"/>
  <c r="I105" i="6"/>
  <c r="G105" i="6"/>
  <c r="H105" i="6" s="1"/>
  <c r="J104" i="6"/>
  <c r="I104" i="6"/>
  <c r="G104" i="6"/>
  <c r="H104" i="6" s="1"/>
  <c r="I103" i="6"/>
  <c r="G103" i="6"/>
  <c r="H103" i="6" s="1"/>
  <c r="I102" i="6"/>
  <c r="G102" i="6"/>
  <c r="H102" i="6" s="1"/>
  <c r="G489" i="6"/>
  <c r="H489" i="6" s="1"/>
  <c r="I115" i="6"/>
  <c r="G115" i="6"/>
  <c r="H115" i="6" s="1"/>
  <c r="I114" i="6"/>
  <c r="G114" i="6"/>
  <c r="H114" i="6" s="1"/>
  <c r="I113" i="6"/>
  <c r="G113" i="6"/>
  <c r="H113" i="6" s="1"/>
  <c r="G490" i="6"/>
  <c r="H490" i="6" s="1"/>
  <c r="G491" i="6"/>
  <c r="H491" i="6" s="1"/>
  <c r="G486" i="6"/>
  <c r="H486" i="6" s="1"/>
  <c r="G485" i="6"/>
  <c r="H485" i="6" s="1"/>
  <c r="G484" i="6"/>
  <c r="H484" i="6" s="1"/>
  <c r="G483" i="6"/>
  <c r="H483" i="6" s="1"/>
  <c r="F54" i="1"/>
  <c r="P116" i="6" l="1"/>
  <c r="J116" i="6" s="1"/>
  <c r="T116" i="6"/>
  <c r="P124" i="6"/>
  <c r="J124" i="6" s="1"/>
  <c r="T124" i="6"/>
  <c r="P84" i="6"/>
  <c r="J84" i="6" s="1"/>
  <c r="T84" i="6"/>
  <c r="P86" i="6"/>
  <c r="J86" i="6" s="1"/>
  <c r="T86" i="6"/>
  <c r="P97" i="6"/>
  <c r="J97" i="6" s="1"/>
  <c r="T97" i="6"/>
  <c r="P122" i="6"/>
  <c r="J122" i="6" s="1"/>
  <c r="T122" i="6"/>
  <c r="P101" i="6"/>
  <c r="J101" i="6" s="1"/>
  <c r="T101" i="6"/>
  <c r="P117" i="6"/>
  <c r="J117" i="6" s="1"/>
  <c r="T117" i="6"/>
  <c r="P114" i="6"/>
  <c r="J114" i="6" s="1"/>
  <c r="T114" i="6"/>
  <c r="P112" i="6"/>
  <c r="J112" i="6" s="1"/>
  <c r="T112" i="6"/>
  <c r="P126" i="6"/>
  <c r="J126" i="6" s="1"/>
  <c r="T126" i="6"/>
  <c r="P100" i="6"/>
  <c r="J100" i="6" s="1"/>
  <c r="T100" i="6"/>
  <c r="P103" i="6"/>
  <c r="J103" i="6" s="1"/>
  <c r="T103" i="6"/>
  <c r="P108" i="6"/>
  <c r="J108" i="6" s="1"/>
  <c r="T108" i="6"/>
  <c r="P82" i="6"/>
  <c r="J82" i="6" s="1"/>
  <c r="T82" i="6"/>
  <c r="P92" i="6"/>
  <c r="J92" i="6" s="1"/>
  <c r="T92" i="6"/>
  <c r="P88" i="6"/>
  <c r="J88" i="6" s="1"/>
  <c r="T88" i="6"/>
  <c r="P125" i="6"/>
  <c r="J125" i="6" s="1"/>
  <c r="T125" i="6"/>
  <c r="P102" i="6"/>
  <c r="J102" i="6" s="1"/>
  <c r="T102" i="6"/>
  <c r="P95" i="6"/>
  <c r="J95" i="6" s="1"/>
  <c r="T95" i="6"/>
  <c r="P99" i="6"/>
  <c r="J99" i="6" s="1"/>
  <c r="T99" i="6"/>
  <c r="P118" i="6"/>
  <c r="J118" i="6" s="1"/>
  <c r="T118" i="6"/>
  <c r="P115" i="6"/>
  <c r="J115" i="6" s="1"/>
  <c r="T115" i="6"/>
  <c r="P109" i="6"/>
  <c r="J109" i="6" s="1"/>
  <c r="T109" i="6"/>
  <c r="P106" i="6"/>
  <c r="J106" i="6" s="1"/>
  <c r="T106" i="6"/>
  <c r="P81" i="6"/>
  <c r="J81" i="6" s="1"/>
  <c r="T81" i="6"/>
  <c r="P83" i="6"/>
  <c r="J83" i="6" s="1"/>
  <c r="T83" i="6"/>
  <c r="P123" i="6"/>
  <c r="J123" i="6" s="1"/>
  <c r="T123" i="6"/>
  <c r="P89" i="6"/>
  <c r="J89" i="6" s="1"/>
  <c r="T89" i="6"/>
  <c r="P91" i="6"/>
  <c r="J91" i="6" s="1"/>
  <c r="T91" i="6"/>
  <c r="P93" i="6"/>
  <c r="J93" i="6" s="1"/>
  <c r="T93" i="6"/>
  <c r="P85" i="6"/>
  <c r="J85" i="6" s="1"/>
  <c r="T85" i="6"/>
  <c r="P87" i="6"/>
  <c r="J87" i="6" s="1"/>
  <c r="T87" i="6"/>
  <c r="P105" i="6"/>
  <c r="J105" i="6" s="1"/>
  <c r="T105" i="6"/>
  <c r="P94" i="6"/>
  <c r="J94" i="6" s="1"/>
  <c r="T94" i="6"/>
  <c r="P96" i="6"/>
  <c r="J96" i="6" s="1"/>
  <c r="T96" i="6"/>
  <c r="P98" i="6"/>
  <c r="J98" i="6" s="1"/>
  <c r="T98" i="6"/>
  <c r="P121" i="6"/>
  <c r="J121" i="6" s="1"/>
  <c r="T121" i="6"/>
  <c r="P113" i="6"/>
  <c r="J113" i="6" s="1"/>
  <c r="T113" i="6"/>
  <c r="P111" i="6"/>
  <c r="J111" i="6" s="1"/>
  <c r="T111" i="6"/>
  <c r="P80" i="6"/>
  <c r="J80" i="6" s="1"/>
  <c r="T80" i="6"/>
  <c r="P90" i="6"/>
  <c r="J90" i="6" s="1"/>
  <c r="T90" i="6"/>
  <c r="P120" i="6"/>
  <c r="J120" i="6" s="1"/>
  <c r="T120" i="6"/>
  <c r="P119" i="6"/>
  <c r="J119" i="6" s="1"/>
  <c r="T119" i="6"/>
  <c r="P110" i="6"/>
  <c r="J110" i="6" s="1"/>
  <c r="T110" i="6"/>
  <c r="P107" i="6"/>
  <c r="J107" i="6" s="1"/>
  <c r="T107" i="6"/>
  <c r="J475" i="6"/>
  <c r="G475" i="6"/>
  <c r="H475" i="6" s="1"/>
  <c r="J492" i="6"/>
  <c r="G492" i="6"/>
  <c r="H492" i="6" s="1"/>
  <c r="J493" i="6"/>
  <c r="G493" i="6"/>
  <c r="H493" i="6" s="1"/>
  <c r="P451" i="6"/>
  <c r="J451" i="6" s="1"/>
  <c r="P450" i="6"/>
  <c r="J450" i="6" s="1"/>
  <c r="P449" i="6"/>
  <c r="J449" i="6" s="1"/>
  <c r="P235" i="6"/>
  <c r="J235" i="6"/>
  <c r="I235" i="6"/>
  <c r="G235" i="6"/>
  <c r="H235" i="6" s="1"/>
  <c r="P242" i="6"/>
  <c r="J242" i="6"/>
  <c r="G242" i="6"/>
  <c r="H242" i="6" s="1"/>
  <c r="P271" i="6"/>
  <c r="J271" i="6"/>
  <c r="G271" i="6"/>
  <c r="H271" i="6" s="1"/>
  <c r="P268" i="6"/>
  <c r="J268" i="6"/>
  <c r="G268" i="6"/>
  <c r="H268" i="6" s="1"/>
  <c r="P265" i="6"/>
  <c r="J265" i="6"/>
  <c r="G265" i="6"/>
  <c r="H265" i="6" s="1"/>
  <c r="P261" i="6"/>
  <c r="J261" i="6"/>
  <c r="G261" i="6"/>
  <c r="H261" i="6" s="1"/>
  <c r="P257" i="6"/>
  <c r="J257" i="6"/>
  <c r="G257" i="6"/>
  <c r="H257" i="6" s="1"/>
  <c r="P255" i="6"/>
  <c r="J255" i="6"/>
  <c r="G255" i="6"/>
  <c r="H255" i="6" s="1"/>
  <c r="P247" i="6"/>
  <c r="J247" i="6"/>
  <c r="G247" i="6"/>
  <c r="H247" i="6" s="1"/>
  <c r="P244" i="6"/>
  <c r="J244" i="6"/>
  <c r="G244" i="6"/>
  <c r="H244" i="6" s="1"/>
  <c r="P240" i="6"/>
  <c r="J240" i="6"/>
  <c r="G240" i="6"/>
  <c r="H240" i="6" s="1"/>
  <c r="P237" i="6"/>
  <c r="J237" i="6"/>
  <c r="G237" i="6"/>
  <c r="H237" i="6" s="1"/>
  <c r="P233" i="6"/>
  <c r="J233" i="6"/>
  <c r="G233" i="6"/>
  <c r="H233" i="6" s="1"/>
  <c r="P231" i="6"/>
  <c r="J231" i="6"/>
  <c r="G231" i="6"/>
  <c r="H231" i="6" s="1"/>
  <c r="G273" i="6"/>
  <c r="H273" i="6" s="1"/>
  <c r="I273" i="6"/>
  <c r="G274" i="6"/>
  <c r="H274" i="6" s="1"/>
  <c r="I274" i="6"/>
  <c r="G275" i="6"/>
  <c r="H275" i="6" s="1"/>
  <c r="I275" i="6"/>
  <c r="G276" i="6"/>
  <c r="H276" i="6" s="1"/>
  <c r="I276" i="6"/>
  <c r="G277" i="6"/>
  <c r="H277" i="6" s="1"/>
  <c r="I277" i="6"/>
  <c r="P277" i="6"/>
  <c r="J277" i="6" s="1"/>
  <c r="G278" i="6"/>
  <c r="H278" i="6" s="1"/>
  <c r="I278" i="6"/>
  <c r="P278" i="6"/>
  <c r="J278" i="6" s="1"/>
  <c r="G279" i="6"/>
  <c r="H279" i="6" s="1"/>
  <c r="I279" i="6"/>
  <c r="P279" i="6"/>
  <c r="J279" i="6" s="1"/>
  <c r="G280" i="6"/>
  <c r="H280" i="6" s="1"/>
  <c r="I280" i="6"/>
  <c r="P280" i="6"/>
  <c r="J280" i="6" s="1"/>
  <c r="G281" i="6"/>
  <c r="H281" i="6" s="1"/>
  <c r="I281" i="6"/>
  <c r="G282" i="6"/>
  <c r="H282" i="6" s="1"/>
  <c r="I282" i="6"/>
  <c r="G283" i="6"/>
  <c r="H283" i="6" s="1"/>
  <c r="I283" i="6"/>
  <c r="G284" i="6"/>
  <c r="H284" i="6" s="1"/>
  <c r="I284" i="6"/>
  <c r="G285" i="6"/>
  <c r="H285" i="6" s="1"/>
  <c r="I285" i="6"/>
  <c r="P285" i="6"/>
  <c r="J285" i="6" s="1"/>
  <c r="G286" i="6"/>
  <c r="H286" i="6" s="1"/>
  <c r="I286" i="6"/>
  <c r="P286" i="6"/>
  <c r="J286" i="6" s="1"/>
  <c r="G287" i="6"/>
  <c r="H287" i="6" s="1"/>
  <c r="I287" i="6"/>
  <c r="P287" i="6"/>
  <c r="J287" i="6" s="1"/>
  <c r="G292" i="6"/>
  <c r="H292" i="6" s="1"/>
  <c r="I292" i="6"/>
  <c r="P292" i="6"/>
  <c r="J292" i="6" s="1"/>
  <c r="G293" i="6"/>
  <c r="H293" i="6" s="1"/>
  <c r="I293" i="6"/>
  <c r="G294" i="6"/>
  <c r="I294" i="6"/>
  <c r="G295" i="6"/>
  <c r="H295" i="6" s="1"/>
  <c r="I295" i="6"/>
  <c r="G296" i="6"/>
  <c r="H296" i="6" s="1"/>
  <c r="I296" i="6"/>
  <c r="G297" i="6"/>
  <c r="H297" i="6" s="1"/>
  <c r="I297" i="6"/>
  <c r="P297" i="6"/>
  <c r="J297" i="6" s="1"/>
  <c r="G298" i="6"/>
  <c r="H298" i="6" s="1"/>
  <c r="I298" i="6"/>
  <c r="P298" i="6"/>
  <c r="J298" i="6" s="1"/>
  <c r="G299" i="6"/>
  <c r="H299" i="6" s="1"/>
  <c r="I299" i="6"/>
  <c r="P299" i="6"/>
  <c r="J299" i="6" s="1"/>
  <c r="G300" i="6"/>
  <c r="H300" i="6" s="1"/>
  <c r="I300" i="6"/>
  <c r="P300" i="6"/>
  <c r="J300" i="6" s="1"/>
  <c r="G301" i="6"/>
  <c r="H301" i="6" s="1"/>
  <c r="I301" i="6"/>
  <c r="G302" i="6"/>
  <c r="H302" i="6" s="1"/>
  <c r="I302" i="6"/>
  <c r="G303" i="6"/>
  <c r="H303" i="6" s="1"/>
  <c r="I303" i="6"/>
  <c r="G304" i="6"/>
  <c r="H304" i="6" s="1"/>
  <c r="I304" i="6"/>
  <c r="G309" i="6"/>
  <c r="H309" i="6" s="1"/>
  <c r="I309" i="6"/>
  <c r="P309" i="6"/>
  <c r="J309" i="6" s="1"/>
  <c r="G310" i="6"/>
  <c r="H310" i="6" s="1"/>
  <c r="I310" i="6"/>
  <c r="P310" i="6"/>
  <c r="J310" i="6" s="1"/>
  <c r="G311" i="6"/>
  <c r="H311" i="6" s="1"/>
  <c r="I311" i="6"/>
  <c r="P311" i="6"/>
  <c r="J311" i="6" s="1"/>
  <c r="G312" i="6"/>
  <c r="H312" i="6" s="1"/>
  <c r="I312" i="6"/>
  <c r="P312" i="6"/>
  <c r="J312" i="6" s="1"/>
  <c r="G313" i="6"/>
  <c r="H313" i="6" s="1"/>
  <c r="I313" i="6"/>
  <c r="G314" i="6"/>
  <c r="H314" i="6" s="1"/>
  <c r="I314" i="6"/>
  <c r="G315" i="6"/>
  <c r="H315" i="6" s="1"/>
  <c r="I315" i="6"/>
  <c r="G316" i="6"/>
  <c r="H316" i="6" s="1"/>
  <c r="I316" i="6"/>
  <c r="G317" i="6"/>
  <c r="H317" i="6" s="1"/>
  <c r="I317" i="6"/>
  <c r="P317" i="6"/>
  <c r="J317" i="6" s="1"/>
  <c r="G318" i="6"/>
  <c r="H318" i="6" s="1"/>
  <c r="I318" i="6"/>
  <c r="P318" i="6"/>
  <c r="J318" i="6" s="1"/>
  <c r="G319" i="6"/>
  <c r="H319" i="6" s="1"/>
  <c r="I319" i="6"/>
  <c r="P319" i="6"/>
  <c r="J319" i="6" s="1"/>
  <c r="G320" i="6"/>
  <c r="H320" i="6" s="1"/>
  <c r="I320" i="6"/>
  <c r="P320" i="6"/>
  <c r="J320" i="6" s="1"/>
  <c r="G321" i="6"/>
  <c r="H321" i="6" s="1"/>
  <c r="I321" i="6"/>
  <c r="G322" i="6"/>
  <c r="H322" i="6" s="1"/>
  <c r="I322" i="6"/>
  <c r="G323" i="6"/>
  <c r="H323" i="6" s="1"/>
  <c r="I323" i="6"/>
  <c r="G324" i="6"/>
  <c r="H324" i="6" s="1"/>
  <c r="I324" i="6"/>
  <c r="G328" i="6"/>
  <c r="H328" i="6" s="1"/>
  <c r="I328" i="6"/>
  <c r="P328" i="6"/>
  <c r="J328" i="6" s="1"/>
  <c r="G329" i="6"/>
  <c r="H329" i="6" s="1"/>
  <c r="I329" i="6"/>
  <c r="P329" i="6"/>
  <c r="J329" i="6" s="1"/>
  <c r="G330" i="6"/>
  <c r="H330" i="6" s="1"/>
  <c r="I330" i="6"/>
  <c r="P330" i="6"/>
  <c r="J330" i="6" s="1"/>
  <c r="G345" i="6"/>
  <c r="H345" i="6" s="1"/>
  <c r="I345" i="6"/>
  <c r="P345" i="6"/>
  <c r="J345" i="6" s="1"/>
  <c r="G346" i="6"/>
  <c r="H346" i="6" s="1"/>
  <c r="I346" i="6"/>
  <c r="G347" i="6"/>
  <c r="H347" i="6" s="1"/>
  <c r="I347" i="6"/>
  <c r="G342" i="6"/>
  <c r="H342" i="6" s="1"/>
  <c r="I342" i="6"/>
  <c r="G343" i="6"/>
  <c r="H343" i="6" s="1"/>
  <c r="I343" i="6"/>
  <c r="G344" i="6"/>
  <c r="H344" i="6" s="1"/>
  <c r="I344" i="6"/>
  <c r="P344" i="6"/>
  <c r="J344" i="6" s="1"/>
  <c r="G348" i="6"/>
  <c r="H348" i="6" s="1"/>
  <c r="I348" i="6"/>
  <c r="P348" i="6"/>
  <c r="J348" i="6" s="1"/>
  <c r="G349" i="6"/>
  <c r="H349" i="6" s="1"/>
  <c r="I349" i="6"/>
  <c r="P349" i="6"/>
  <c r="J349" i="6" s="1"/>
  <c r="G350" i="6"/>
  <c r="H350" i="6" s="1"/>
  <c r="I350" i="6"/>
  <c r="P350" i="6"/>
  <c r="J350" i="6" s="1"/>
  <c r="G357" i="6"/>
  <c r="H357" i="6" s="1"/>
  <c r="I357" i="6"/>
  <c r="G358" i="6"/>
  <c r="H358" i="6" s="1"/>
  <c r="I358" i="6"/>
  <c r="G359" i="6"/>
  <c r="H359" i="6" s="1"/>
  <c r="I359" i="6"/>
  <c r="G360" i="6"/>
  <c r="H360" i="6" s="1"/>
  <c r="I360" i="6"/>
  <c r="G340" i="6"/>
  <c r="H340" i="6" s="1"/>
  <c r="I340" i="6"/>
  <c r="P340" i="6"/>
  <c r="G341" i="6"/>
  <c r="H341" i="6" s="1"/>
  <c r="I341" i="6"/>
  <c r="P341" i="6"/>
  <c r="G325" i="6"/>
  <c r="H325" i="6" s="1"/>
  <c r="I325" i="6"/>
  <c r="P325" i="6"/>
  <c r="J325" i="6" s="1"/>
  <c r="G326" i="6"/>
  <c r="H326" i="6" s="1"/>
  <c r="I326" i="6"/>
  <c r="P326" i="6"/>
  <c r="J326" i="6" s="1"/>
  <c r="G327" i="6"/>
  <c r="H327" i="6" s="1"/>
  <c r="I327" i="6"/>
  <c r="G361" i="6"/>
  <c r="H361" i="6" s="1"/>
  <c r="I361" i="6"/>
  <c r="G352" i="6"/>
  <c r="H352" i="6" s="1"/>
  <c r="I352" i="6"/>
  <c r="G353" i="6"/>
  <c r="H353" i="6" s="1"/>
  <c r="I353" i="6"/>
  <c r="G354" i="6"/>
  <c r="H354" i="6" s="1"/>
  <c r="I354" i="6"/>
  <c r="G351" i="6"/>
  <c r="H351" i="6" s="1"/>
  <c r="I351" i="6"/>
  <c r="P351" i="6"/>
  <c r="G355" i="6"/>
  <c r="H355" i="6" s="1"/>
  <c r="I355" i="6"/>
  <c r="P355" i="6"/>
  <c r="G356" i="6"/>
  <c r="H356" i="6" s="1"/>
  <c r="I356" i="6"/>
  <c r="P356" i="6"/>
  <c r="G446" i="6"/>
  <c r="H446" i="6" s="1"/>
  <c r="I446" i="6"/>
  <c r="P446" i="6"/>
  <c r="J446" i="6" s="1"/>
  <c r="G447" i="6"/>
  <c r="H447" i="6" s="1"/>
  <c r="I447" i="6"/>
  <c r="G448" i="6"/>
  <c r="H448" i="6" s="1"/>
  <c r="I448" i="6"/>
  <c r="G449" i="6"/>
  <c r="H449" i="6" s="1"/>
  <c r="I449" i="6"/>
  <c r="G450" i="6"/>
  <c r="H450" i="6" s="1"/>
  <c r="I450" i="6"/>
  <c r="G451" i="6"/>
  <c r="H451" i="6" s="1"/>
  <c r="I451" i="6"/>
  <c r="G496" i="6"/>
  <c r="H496" i="6" s="1"/>
  <c r="J496" i="6"/>
  <c r="G495" i="6"/>
  <c r="H495" i="6" s="1"/>
  <c r="J495" i="6"/>
  <c r="G494" i="6"/>
  <c r="H494" i="6" s="1"/>
  <c r="J494" i="6"/>
  <c r="I272" i="6"/>
  <c r="P146" i="6"/>
  <c r="J146" i="6" s="1"/>
  <c r="P145" i="6"/>
  <c r="J145" i="6" s="1"/>
  <c r="P140" i="6"/>
  <c r="J140" i="6" s="1"/>
  <c r="P135" i="6"/>
  <c r="J135" i="6" s="1"/>
  <c r="P134" i="6"/>
  <c r="J134" i="6" s="1"/>
  <c r="P133" i="6"/>
  <c r="J133" i="6" s="1"/>
  <c r="P131" i="6"/>
  <c r="J131" i="6" s="1"/>
  <c r="D69" i="5" s="1"/>
  <c r="E69" i="5" s="1"/>
  <c r="I146" i="6"/>
  <c r="I145" i="6"/>
  <c r="I143" i="6"/>
  <c r="I141" i="6"/>
  <c r="I135" i="6"/>
  <c r="I132" i="6"/>
  <c r="G135" i="6"/>
  <c r="H135" i="6" s="1"/>
  <c r="G141" i="6"/>
  <c r="H141" i="6" s="1"/>
  <c r="G147" i="6"/>
  <c r="H147" i="6" s="1"/>
  <c r="G130" i="6"/>
  <c r="H130" i="6" s="1"/>
  <c r="I130" i="6"/>
  <c r="P130" i="6"/>
  <c r="J130" i="6" s="1"/>
  <c r="G131" i="6"/>
  <c r="I131" i="6"/>
  <c r="G132" i="6"/>
  <c r="P132" i="6"/>
  <c r="J132" i="6" s="1"/>
  <c r="D70" i="5" s="1"/>
  <c r="E70" i="5" s="1"/>
  <c r="G133" i="6"/>
  <c r="H133" i="6" s="1"/>
  <c r="I133" i="6"/>
  <c r="G134" i="6"/>
  <c r="H134" i="6" s="1"/>
  <c r="I134" i="6"/>
  <c r="G140" i="6"/>
  <c r="H140" i="6" s="1"/>
  <c r="I140" i="6"/>
  <c r="P141" i="6"/>
  <c r="J141" i="6" s="1"/>
  <c r="G142" i="6"/>
  <c r="H142" i="6" s="1"/>
  <c r="I142" i="6"/>
  <c r="P142" i="6"/>
  <c r="J142" i="6" s="1"/>
  <c r="G143" i="6"/>
  <c r="H143" i="6" s="1"/>
  <c r="P143" i="6"/>
  <c r="J143" i="6" s="1"/>
  <c r="G144" i="6"/>
  <c r="H144" i="6" s="1"/>
  <c r="I144" i="6"/>
  <c r="P144" i="6"/>
  <c r="J144" i="6" s="1"/>
  <c r="G145" i="6"/>
  <c r="H145" i="6" s="1"/>
  <c r="G146" i="6"/>
  <c r="H146" i="6" s="1"/>
  <c r="I147" i="6"/>
  <c r="P147" i="6"/>
  <c r="J147" i="6" s="1"/>
  <c r="G272" i="6"/>
  <c r="H272" i="6" s="1"/>
  <c r="P272" i="6"/>
  <c r="J272" i="6" s="1"/>
  <c r="P273" i="6"/>
  <c r="J273" i="6" s="1"/>
  <c r="P274" i="6"/>
  <c r="J274" i="6" s="1"/>
  <c r="P275" i="6"/>
  <c r="J275" i="6" s="1"/>
  <c r="P276" i="6"/>
  <c r="J276" i="6" s="1"/>
  <c r="P281" i="6"/>
  <c r="J281" i="6" s="1"/>
  <c r="P282" i="6"/>
  <c r="J282" i="6" s="1"/>
  <c r="P283" i="6"/>
  <c r="J283" i="6" s="1"/>
  <c r="P284" i="6"/>
  <c r="J284" i="6" s="1"/>
  <c r="P293" i="6"/>
  <c r="J293" i="6" s="1"/>
  <c r="P294" i="6"/>
  <c r="J294" i="6" s="1"/>
  <c r="D72" i="5" s="1"/>
  <c r="E72" i="5" s="1"/>
  <c r="P295" i="6"/>
  <c r="J295" i="6" s="1"/>
  <c r="P296" i="6"/>
  <c r="J296" i="6" s="1"/>
  <c r="P301" i="6"/>
  <c r="J301" i="6" s="1"/>
  <c r="P302" i="6"/>
  <c r="J302" i="6" s="1"/>
  <c r="P303" i="6"/>
  <c r="J303" i="6" s="1"/>
  <c r="P304" i="6"/>
  <c r="J304" i="6" s="1"/>
  <c r="P313" i="6"/>
  <c r="J313" i="6" s="1"/>
  <c r="P314" i="6"/>
  <c r="J314" i="6" s="1"/>
  <c r="P315" i="6"/>
  <c r="J315" i="6" s="1"/>
  <c r="P316" i="6"/>
  <c r="J316" i="6" s="1"/>
  <c r="P321" i="6"/>
  <c r="J321" i="6" s="1"/>
  <c r="P322" i="6"/>
  <c r="J322" i="6" s="1"/>
  <c r="P323" i="6"/>
  <c r="J323" i="6" s="1"/>
  <c r="P324" i="6"/>
  <c r="J324" i="6" s="1"/>
  <c r="P346" i="6"/>
  <c r="J346" i="6" s="1"/>
  <c r="P347" i="6"/>
  <c r="J347" i="6" s="1"/>
  <c r="P342" i="6"/>
  <c r="J342" i="6" s="1"/>
  <c r="P343" i="6"/>
  <c r="J343" i="6" s="1"/>
  <c r="P357" i="6"/>
  <c r="J357" i="6" s="1"/>
  <c r="P358" i="6"/>
  <c r="J358" i="6" s="1"/>
  <c r="P359" i="6"/>
  <c r="J359" i="6" s="1"/>
  <c r="P360" i="6"/>
  <c r="J360" i="6" s="1"/>
  <c r="P327" i="6"/>
  <c r="J327" i="6" s="1"/>
  <c r="P361" i="6"/>
  <c r="P352" i="6"/>
  <c r="P353" i="6"/>
  <c r="P354" i="6"/>
  <c r="P447" i="6"/>
  <c r="J447" i="6" s="1"/>
  <c r="P448" i="6"/>
  <c r="J448" i="6" s="1"/>
  <c r="P168" i="6"/>
  <c r="J168" i="6" s="1"/>
  <c r="P167" i="6"/>
  <c r="J167" i="6" s="1"/>
  <c r="P166" i="6"/>
  <c r="J166" i="6" s="1"/>
  <c r="P170" i="6"/>
  <c r="J170" i="6" s="1"/>
  <c r="P169" i="6"/>
  <c r="J169" i="6" s="1"/>
  <c r="P172" i="6"/>
  <c r="J172" i="6" s="1"/>
  <c r="P175" i="6"/>
  <c r="J175" i="6" s="1"/>
  <c r="P174" i="6"/>
  <c r="J174" i="6" s="1"/>
  <c r="P177" i="6"/>
  <c r="J177" i="6" s="1"/>
  <c r="P176" i="6"/>
  <c r="J176" i="6" s="1"/>
  <c r="P179" i="6"/>
  <c r="J179" i="6" s="1"/>
  <c r="P178" i="6"/>
  <c r="J178" i="6" s="1"/>
  <c r="P186" i="6"/>
  <c r="J186" i="6" s="1"/>
  <c r="P185" i="6"/>
  <c r="J185" i="6" s="1"/>
  <c r="P184" i="6"/>
  <c r="J184" i="6" s="1"/>
  <c r="P183" i="6"/>
  <c r="J183" i="6" s="1"/>
  <c r="P129" i="6"/>
  <c r="J129" i="6" s="1"/>
  <c r="I178" i="6"/>
  <c r="I182" i="6"/>
  <c r="I180" i="6"/>
  <c r="I186" i="6"/>
  <c r="I184" i="6"/>
  <c r="I183" i="6"/>
  <c r="I129" i="6"/>
  <c r="G164" i="6"/>
  <c r="G167" i="6"/>
  <c r="G178" i="6"/>
  <c r="H178" i="6" s="1"/>
  <c r="G182" i="6"/>
  <c r="H182" i="6" s="1"/>
  <c r="G181" i="6"/>
  <c r="H181" i="6" s="1"/>
  <c r="G180" i="6"/>
  <c r="H180" i="6" s="1"/>
  <c r="G186" i="6"/>
  <c r="H186" i="6" s="1"/>
  <c r="G185" i="6"/>
  <c r="H185" i="6" s="1"/>
  <c r="G183" i="6"/>
  <c r="H183" i="6" s="1"/>
  <c r="G129" i="6"/>
  <c r="H129" i="6" s="1"/>
  <c r="P165" i="6"/>
  <c r="J165" i="6" s="1"/>
  <c r="I165" i="6"/>
  <c r="P367" i="6"/>
  <c r="P366" i="6"/>
  <c r="P365" i="6"/>
  <c r="P364" i="6"/>
  <c r="P363" i="6"/>
  <c r="J363" i="6" s="1"/>
  <c r="P408" i="6"/>
  <c r="J408" i="6" s="1"/>
  <c r="P379" i="6"/>
  <c r="J379" i="6" s="1"/>
  <c r="P378" i="6"/>
  <c r="J378" i="6" s="1"/>
  <c r="P377" i="6"/>
  <c r="J377" i="6" s="1"/>
  <c r="P376" i="6"/>
  <c r="J376" i="6" s="1"/>
  <c r="P375" i="6"/>
  <c r="J375" i="6" s="1"/>
  <c r="P406" i="6"/>
  <c r="J406" i="6" s="1"/>
  <c r="P405" i="6"/>
  <c r="J405" i="6" s="1"/>
  <c r="P404" i="6"/>
  <c r="J404" i="6" s="1"/>
  <c r="P403" i="6"/>
  <c r="J403" i="6" s="1"/>
  <c r="P402" i="6"/>
  <c r="J402" i="6" s="1"/>
  <c r="P373" i="6"/>
  <c r="J373" i="6" s="1"/>
  <c r="P374" i="6"/>
  <c r="J374" i="6" s="1"/>
  <c r="P371" i="6"/>
  <c r="J371" i="6" s="1"/>
  <c r="P372" i="6"/>
  <c r="J372" i="6" s="1"/>
  <c r="P370" i="6"/>
  <c r="J370" i="6" s="1"/>
  <c r="P368" i="6"/>
  <c r="J368" i="6" s="1"/>
  <c r="P369" i="6"/>
  <c r="J369" i="6" s="1"/>
  <c r="P401" i="6"/>
  <c r="J401" i="6" s="1"/>
  <c r="P400" i="6"/>
  <c r="J400" i="6" s="1"/>
  <c r="P399" i="6"/>
  <c r="J399" i="6" s="1"/>
  <c r="P398" i="6"/>
  <c r="J398" i="6" s="1"/>
  <c r="P397" i="6"/>
  <c r="J397" i="6" s="1"/>
  <c r="P385" i="6"/>
  <c r="J385" i="6" s="1"/>
  <c r="P407" i="6"/>
  <c r="J407" i="6" s="1"/>
  <c r="P362" i="6"/>
  <c r="J362" i="6" s="1"/>
  <c r="P393" i="6"/>
  <c r="J393" i="6" s="1"/>
  <c r="P388" i="6"/>
  <c r="J388" i="6" s="1"/>
  <c r="P387" i="6"/>
  <c r="J387" i="6" s="1"/>
  <c r="P386" i="6"/>
  <c r="J386" i="6" s="1"/>
  <c r="P396" i="6"/>
  <c r="J396" i="6" s="1"/>
  <c r="P395" i="6"/>
  <c r="J395" i="6" s="1"/>
  <c r="P394" i="6"/>
  <c r="J394" i="6" s="1"/>
  <c r="P384" i="6"/>
  <c r="J384" i="6" s="1"/>
  <c r="P383" i="6"/>
  <c r="J383" i="6" s="1"/>
  <c r="P382" i="6"/>
  <c r="J382" i="6" s="1"/>
  <c r="P381" i="6"/>
  <c r="J381" i="6" s="1"/>
  <c r="P380" i="6"/>
  <c r="J380" i="6" s="1"/>
  <c r="P411" i="6"/>
  <c r="J411" i="6" s="1"/>
  <c r="D71" i="5" s="1"/>
  <c r="E71" i="5" s="1"/>
  <c r="P410" i="6"/>
  <c r="J410" i="6" s="1"/>
  <c r="P409" i="6"/>
  <c r="J409" i="6" s="1"/>
  <c r="P392" i="6"/>
  <c r="J392" i="6" s="1"/>
  <c r="P391" i="6"/>
  <c r="J391" i="6" s="1"/>
  <c r="P390" i="6"/>
  <c r="J390" i="6" s="1"/>
  <c r="P389" i="6"/>
  <c r="J389" i="6" s="1"/>
  <c r="P200" i="6"/>
  <c r="P199" i="6"/>
  <c r="P198" i="6"/>
  <c r="P197" i="6"/>
  <c r="J197" i="6" s="1"/>
  <c r="P196" i="6"/>
  <c r="J196" i="6" s="1"/>
  <c r="P195" i="6"/>
  <c r="J195" i="6" s="1"/>
  <c r="P194" i="6"/>
  <c r="P193" i="6"/>
  <c r="P192" i="6"/>
  <c r="P188" i="6"/>
  <c r="J188" i="6" s="1"/>
  <c r="D68" i="5" s="1"/>
  <c r="E68" i="5" s="1"/>
  <c r="P187" i="6"/>
  <c r="J187" i="6" s="1"/>
  <c r="P191" i="6"/>
  <c r="J191" i="6" s="1"/>
  <c r="P190" i="6"/>
  <c r="J190" i="6" s="1"/>
  <c r="P189" i="6"/>
  <c r="J189" i="6" s="1"/>
  <c r="P160" i="6"/>
  <c r="P291" i="6"/>
  <c r="P290" i="6"/>
  <c r="P289" i="6"/>
  <c r="P288" i="6"/>
  <c r="P339" i="6"/>
  <c r="P338" i="6"/>
  <c r="P337" i="6"/>
  <c r="P336" i="6"/>
  <c r="P335" i="6"/>
  <c r="P334" i="6"/>
  <c r="P332" i="6"/>
  <c r="P333" i="6"/>
  <c r="P331" i="6"/>
  <c r="P155" i="6"/>
  <c r="P154" i="6"/>
  <c r="P153" i="6"/>
  <c r="P152" i="6"/>
  <c r="P139" i="6"/>
  <c r="J139" i="6" s="1"/>
  <c r="P138" i="6"/>
  <c r="J138" i="6" s="1"/>
  <c r="P137" i="6"/>
  <c r="J137" i="6" s="1"/>
  <c r="P136" i="6"/>
  <c r="J136" i="6" s="1"/>
  <c r="P151" i="6"/>
  <c r="P150" i="6"/>
  <c r="P149" i="6"/>
  <c r="P308" i="6"/>
  <c r="P307" i="6"/>
  <c r="P306" i="6"/>
  <c r="P305" i="6"/>
  <c r="P270" i="6"/>
  <c r="P269" i="6"/>
  <c r="P267" i="6"/>
  <c r="P266" i="6"/>
  <c r="P264" i="6"/>
  <c r="P263" i="6"/>
  <c r="P262" i="6"/>
  <c r="P260" i="6"/>
  <c r="P259" i="6"/>
  <c r="P258" i="6"/>
  <c r="P256" i="6"/>
  <c r="P254" i="6"/>
  <c r="P253" i="6"/>
  <c r="P252" i="6"/>
  <c r="P251" i="6"/>
  <c r="P250" i="6"/>
  <c r="P249" i="6"/>
  <c r="P248" i="6"/>
  <c r="P246" i="6"/>
  <c r="P245" i="6"/>
  <c r="P243" i="6"/>
  <c r="P241" i="6"/>
  <c r="P239" i="6"/>
  <c r="P238" i="6"/>
  <c r="P236" i="6"/>
  <c r="P234" i="6"/>
  <c r="P232" i="6"/>
  <c r="P230" i="6"/>
  <c r="P229" i="6"/>
  <c r="P228" i="6"/>
  <c r="P40" i="6"/>
  <c r="J40" i="6" s="1"/>
  <c r="P41" i="6"/>
  <c r="J41" i="6" s="1"/>
  <c r="P42" i="6"/>
  <c r="J42" i="6" s="1"/>
  <c r="P43" i="6"/>
  <c r="J43" i="6" s="1"/>
  <c r="P44" i="6"/>
  <c r="J44" i="6" s="1"/>
  <c r="P45" i="6"/>
  <c r="J45" i="6" s="1"/>
  <c r="P46" i="6"/>
  <c r="J46" i="6" s="1"/>
  <c r="P47" i="6"/>
  <c r="J47" i="6" s="1"/>
  <c r="P58" i="6"/>
  <c r="J58" i="6" s="1"/>
  <c r="P69" i="6"/>
  <c r="J69" i="6" s="1"/>
  <c r="P34" i="6"/>
  <c r="J34" i="6" s="1"/>
  <c r="P35" i="6"/>
  <c r="J35" i="6" s="1"/>
  <c r="P36" i="6"/>
  <c r="J36" i="6" s="1"/>
  <c r="P37" i="6"/>
  <c r="J37" i="6" s="1"/>
  <c r="P38" i="6"/>
  <c r="J38" i="6" s="1"/>
  <c r="P51" i="6"/>
  <c r="J51" i="6" s="1"/>
  <c r="P52" i="6"/>
  <c r="J52" i="6" s="1"/>
  <c r="P53" i="6"/>
  <c r="J53" i="6" s="1"/>
  <c r="P54" i="6"/>
  <c r="J54" i="6" s="1"/>
  <c r="P55" i="6"/>
  <c r="J55" i="6" s="1"/>
  <c r="P56" i="6"/>
  <c r="J56" i="6" s="1"/>
  <c r="P57" i="6"/>
  <c r="J57" i="6" s="1"/>
  <c r="P48" i="6"/>
  <c r="J48" i="6" s="1"/>
  <c r="P49" i="6"/>
  <c r="J49" i="6" s="1"/>
  <c r="P50" i="6"/>
  <c r="J50" i="6" s="1"/>
  <c r="P62" i="6"/>
  <c r="J62" i="6" s="1"/>
  <c r="P63" i="6"/>
  <c r="J63" i="6" s="1"/>
  <c r="P64" i="6"/>
  <c r="J64" i="6" s="1"/>
  <c r="P65" i="6"/>
  <c r="J65" i="6" s="1"/>
  <c r="P66" i="6"/>
  <c r="J66" i="6" s="1"/>
  <c r="P67" i="6"/>
  <c r="J67" i="6" s="1"/>
  <c r="P68" i="6"/>
  <c r="J68" i="6" s="1"/>
  <c r="P59" i="6"/>
  <c r="J59" i="6" s="1"/>
  <c r="P60" i="6"/>
  <c r="J60" i="6" s="1"/>
  <c r="P61" i="6"/>
  <c r="J61" i="6" s="1"/>
  <c r="P70" i="6"/>
  <c r="J70" i="6" s="1"/>
  <c r="P71" i="6"/>
  <c r="J71" i="6" s="1"/>
  <c r="P72" i="6"/>
  <c r="J72" i="6" s="1"/>
  <c r="P73" i="6"/>
  <c r="J73" i="6" s="1"/>
  <c r="P74" i="6"/>
  <c r="J74" i="6" s="1"/>
  <c r="P75" i="6"/>
  <c r="J75" i="6" s="1"/>
  <c r="P76" i="6"/>
  <c r="J76" i="6" s="1"/>
  <c r="P77" i="6"/>
  <c r="J77" i="6" s="1"/>
  <c r="P78" i="6"/>
  <c r="J78" i="6" s="1"/>
  <c r="P412" i="6"/>
  <c r="J412" i="6" s="1"/>
  <c r="P425" i="6"/>
  <c r="J425" i="6" s="1"/>
  <c r="P426" i="6"/>
  <c r="J426" i="6" s="1"/>
  <c r="P427" i="6"/>
  <c r="J427" i="6" s="1"/>
  <c r="P428" i="6"/>
  <c r="J428" i="6" s="1"/>
  <c r="P429" i="6"/>
  <c r="J429" i="6" s="1"/>
  <c r="P430" i="6"/>
  <c r="J430" i="6" s="1"/>
  <c r="P431" i="6"/>
  <c r="J431" i="6" s="1"/>
  <c r="P432" i="6"/>
  <c r="J432" i="6" s="1"/>
  <c r="P433" i="6"/>
  <c r="J433" i="6" s="1"/>
  <c r="P434" i="6"/>
  <c r="J434" i="6" s="1"/>
  <c r="P435" i="6"/>
  <c r="J435" i="6" s="1"/>
  <c r="P436" i="6"/>
  <c r="J436" i="6" s="1"/>
  <c r="P437" i="6"/>
  <c r="J437" i="6" s="1"/>
  <c r="P438" i="6"/>
  <c r="J438" i="6" s="1"/>
  <c r="P439" i="6"/>
  <c r="J439" i="6" s="1"/>
  <c r="P440" i="6"/>
  <c r="J440" i="6" s="1"/>
  <c r="P441" i="6"/>
  <c r="J441" i="6" s="1"/>
  <c r="P442" i="6"/>
  <c r="J442" i="6" s="1"/>
  <c r="P443" i="6"/>
  <c r="J443" i="6" s="1"/>
  <c r="P444" i="6"/>
  <c r="J444" i="6" s="1"/>
  <c r="P445" i="6"/>
  <c r="J445" i="6" s="1"/>
  <c r="P413" i="6"/>
  <c r="J413" i="6" s="1"/>
  <c r="P414" i="6"/>
  <c r="J414" i="6" s="1"/>
  <c r="P415" i="6"/>
  <c r="J415" i="6" s="1"/>
  <c r="P416" i="6"/>
  <c r="J416" i="6" s="1"/>
  <c r="P417" i="6"/>
  <c r="J417" i="6" s="1"/>
  <c r="P418" i="6"/>
  <c r="J418" i="6" s="1"/>
  <c r="P419" i="6"/>
  <c r="J419" i="6" s="1"/>
  <c r="P420" i="6"/>
  <c r="J420" i="6" s="1"/>
  <c r="P421" i="6"/>
  <c r="J421" i="6" s="1"/>
  <c r="P422" i="6"/>
  <c r="J422" i="6" s="1"/>
  <c r="P423" i="6"/>
  <c r="J423" i="6" s="1"/>
  <c r="P424" i="6"/>
  <c r="J424" i="6" s="1"/>
  <c r="P164" i="6"/>
  <c r="J164" i="6" s="1"/>
  <c r="P163" i="6"/>
  <c r="J163" i="6" s="1"/>
  <c r="P171" i="6"/>
  <c r="J171" i="6" s="1"/>
  <c r="P173" i="6"/>
  <c r="J173" i="6" s="1"/>
  <c r="P182" i="6"/>
  <c r="J182" i="6" s="1"/>
  <c r="P181" i="6"/>
  <c r="J181" i="6" s="1"/>
  <c r="P180" i="6"/>
  <c r="J180" i="6" s="1"/>
  <c r="P39" i="6"/>
  <c r="J39" i="6" s="1"/>
  <c r="I50" i="1"/>
  <c r="I427" i="6"/>
  <c r="I429" i="6"/>
  <c r="I432" i="6"/>
  <c r="I437" i="6"/>
  <c r="I439" i="6"/>
  <c r="I440" i="6"/>
  <c r="I441" i="6"/>
  <c r="I444" i="6"/>
  <c r="I413" i="6"/>
  <c r="I415" i="6"/>
  <c r="I416" i="6"/>
  <c r="I420" i="6"/>
  <c r="I422" i="6"/>
  <c r="I423" i="6"/>
  <c r="I424" i="6"/>
  <c r="G429" i="6"/>
  <c r="H429" i="6" s="1"/>
  <c r="G430" i="6"/>
  <c r="H430" i="6" s="1"/>
  <c r="G431" i="6"/>
  <c r="H431" i="6" s="1"/>
  <c r="G432" i="6"/>
  <c r="H432" i="6" s="1"/>
  <c r="G433" i="6"/>
  <c r="H433" i="6" s="1"/>
  <c r="G437" i="6"/>
  <c r="H437" i="6" s="1"/>
  <c r="G438" i="6"/>
  <c r="H438" i="6" s="1"/>
  <c r="G439" i="6"/>
  <c r="H439" i="6" s="1"/>
  <c r="G440" i="6"/>
  <c r="H440" i="6" s="1"/>
  <c r="G441" i="6"/>
  <c r="H441" i="6" s="1"/>
  <c r="G413" i="6"/>
  <c r="H413" i="6" s="1"/>
  <c r="G415" i="6"/>
  <c r="H415" i="6" s="1"/>
  <c r="G416" i="6"/>
  <c r="H416" i="6" s="1"/>
  <c r="G421" i="6"/>
  <c r="H421" i="6" s="1"/>
  <c r="G423" i="6"/>
  <c r="H423" i="6" s="1"/>
  <c r="G424" i="6"/>
  <c r="H424" i="6" s="1"/>
  <c r="G168" i="6"/>
  <c r="G184" i="6"/>
  <c r="H184" i="6" s="1"/>
  <c r="G422" i="6"/>
  <c r="H422" i="6" s="1"/>
  <c r="I421" i="6"/>
  <c r="G420" i="6"/>
  <c r="H420" i="6" s="1"/>
  <c r="I419" i="6"/>
  <c r="G419" i="6"/>
  <c r="H419" i="6" s="1"/>
  <c r="I418" i="6"/>
  <c r="G418" i="6"/>
  <c r="H418" i="6" s="1"/>
  <c r="I417" i="6"/>
  <c r="G417" i="6"/>
  <c r="H417" i="6" s="1"/>
  <c r="I414" i="6"/>
  <c r="G414" i="6"/>
  <c r="H414" i="6" s="1"/>
  <c r="I445" i="6"/>
  <c r="G445" i="6"/>
  <c r="H445" i="6" s="1"/>
  <c r="G444" i="6"/>
  <c r="H444" i="6" s="1"/>
  <c r="I443" i="6"/>
  <c r="G443" i="6"/>
  <c r="H443" i="6" s="1"/>
  <c r="I442" i="6"/>
  <c r="G442" i="6"/>
  <c r="H442" i="6" s="1"/>
  <c r="I438" i="6"/>
  <c r="I436" i="6"/>
  <c r="G436" i="6"/>
  <c r="H436" i="6" s="1"/>
  <c r="I435" i="6"/>
  <c r="G435" i="6"/>
  <c r="H435" i="6" s="1"/>
  <c r="I434" i="6"/>
  <c r="G434" i="6"/>
  <c r="H434" i="6" s="1"/>
  <c r="I433" i="6"/>
  <c r="I431" i="6"/>
  <c r="I430" i="6"/>
  <c r="I428" i="6"/>
  <c r="G428" i="6"/>
  <c r="H428" i="6" s="1"/>
  <c r="G427" i="6"/>
  <c r="H427" i="6" s="1"/>
  <c r="I426" i="6"/>
  <c r="G426" i="6"/>
  <c r="H426" i="6" s="1"/>
  <c r="I185" i="6"/>
  <c r="I181" i="6"/>
  <c r="G163" i="6"/>
  <c r="G165" i="6"/>
  <c r="H165" i="6" s="1"/>
  <c r="I78" i="6"/>
  <c r="H78" i="6"/>
  <c r="F78" i="6"/>
  <c r="I77" i="6"/>
  <c r="H77" i="6"/>
  <c r="F77" i="6"/>
  <c r="I76" i="6"/>
  <c r="H76" i="6"/>
  <c r="F76" i="6"/>
  <c r="I75" i="6"/>
  <c r="H75" i="6"/>
  <c r="F75" i="6"/>
  <c r="I74" i="6"/>
  <c r="H74" i="6"/>
  <c r="F74" i="6"/>
  <c r="I73" i="6"/>
  <c r="H73" i="6"/>
  <c r="F73" i="6"/>
  <c r="I72" i="6"/>
  <c r="H72" i="6"/>
  <c r="F72" i="6"/>
  <c r="I71" i="6"/>
  <c r="H71" i="6"/>
  <c r="F71" i="6"/>
  <c r="I70" i="6"/>
  <c r="H70" i="6"/>
  <c r="F70" i="6"/>
  <c r="I61" i="6"/>
  <c r="H61" i="6"/>
  <c r="F61" i="6"/>
  <c r="I60" i="6"/>
  <c r="H60" i="6"/>
  <c r="F60" i="6"/>
  <c r="I59" i="6"/>
  <c r="H59" i="6"/>
  <c r="F59" i="6"/>
  <c r="I68" i="6"/>
  <c r="H68" i="6"/>
  <c r="F68" i="6"/>
  <c r="I67" i="6"/>
  <c r="H67" i="6"/>
  <c r="F67" i="6"/>
  <c r="I66" i="6"/>
  <c r="H66" i="6"/>
  <c r="F66" i="6"/>
  <c r="I65" i="6"/>
  <c r="H65" i="6"/>
  <c r="F65" i="6"/>
  <c r="I64" i="6"/>
  <c r="H64" i="6"/>
  <c r="F64" i="6"/>
  <c r="I63" i="6"/>
  <c r="H63" i="6"/>
  <c r="F63" i="6"/>
  <c r="I62" i="6"/>
  <c r="H62" i="6"/>
  <c r="F62" i="6"/>
  <c r="H294" i="6" l="1"/>
  <c r="J13" i="9"/>
  <c r="H132" i="6"/>
  <c r="J11" i="9"/>
  <c r="H131" i="6"/>
  <c r="J10" i="9"/>
  <c r="Q13" i="9"/>
  <c r="Q11" i="9"/>
  <c r="D67" i="5"/>
  <c r="Q8" i="9"/>
  <c r="Q10" i="9"/>
  <c r="Q9" i="9"/>
  <c r="Q12" i="9"/>
  <c r="I50" i="6"/>
  <c r="H50" i="6"/>
  <c r="F50" i="6"/>
  <c r="I49" i="6"/>
  <c r="H49" i="6"/>
  <c r="F49" i="6"/>
  <c r="I48" i="6"/>
  <c r="H48" i="6"/>
  <c r="F48" i="6"/>
  <c r="I57" i="6"/>
  <c r="H57" i="6"/>
  <c r="F57" i="6"/>
  <c r="I56" i="6"/>
  <c r="H56" i="6"/>
  <c r="F56" i="6"/>
  <c r="I55" i="6"/>
  <c r="H55" i="6"/>
  <c r="F55" i="6"/>
  <c r="I54" i="6"/>
  <c r="H54" i="6"/>
  <c r="F54" i="6"/>
  <c r="I53" i="6"/>
  <c r="H53" i="6"/>
  <c r="F53" i="6"/>
  <c r="I52" i="6"/>
  <c r="H52" i="6"/>
  <c r="F52" i="6"/>
  <c r="I51" i="6"/>
  <c r="H51" i="6"/>
  <c r="F51" i="6"/>
  <c r="F38" i="6"/>
  <c r="F37" i="6"/>
  <c r="F36" i="6"/>
  <c r="F35" i="6"/>
  <c r="F34" i="6"/>
  <c r="F69" i="6"/>
  <c r="F58" i="6"/>
  <c r="F47" i="6"/>
  <c r="F46" i="6"/>
  <c r="F45" i="6"/>
  <c r="F44" i="6"/>
  <c r="F43" i="6"/>
  <c r="F42" i="6"/>
  <c r="F41" i="6"/>
  <c r="F40" i="6"/>
  <c r="I179" i="6"/>
  <c r="G179" i="6"/>
  <c r="H179" i="6" s="1"/>
  <c r="I176" i="6"/>
  <c r="G176" i="6"/>
  <c r="H176" i="6" s="1"/>
  <c r="I177" i="6"/>
  <c r="G177" i="6"/>
  <c r="H177" i="6" s="1"/>
  <c r="I174" i="6"/>
  <c r="G174" i="6"/>
  <c r="H174" i="6" s="1"/>
  <c r="I175" i="6"/>
  <c r="G175" i="6"/>
  <c r="H175" i="6" s="1"/>
  <c r="I173" i="6"/>
  <c r="G173" i="6"/>
  <c r="H173" i="6" s="1"/>
  <c r="I171" i="6"/>
  <c r="G171" i="6"/>
  <c r="H171" i="6" s="1"/>
  <c r="I172" i="6"/>
  <c r="G172" i="6"/>
  <c r="H172" i="6" s="1"/>
  <c r="I169" i="6"/>
  <c r="G169" i="6"/>
  <c r="H169" i="6" s="1"/>
  <c r="I170" i="6"/>
  <c r="G170" i="6"/>
  <c r="H170" i="6" s="1"/>
  <c r="I166" i="6"/>
  <c r="G166" i="6"/>
  <c r="H166" i="6" s="1"/>
  <c r="I167" i="6"/>
  <c r="H167" i="6"/>
  <c r="I168" i="6"/>
  <c r="H168" i="6"/>
  <c r="I163" i="6"/>
  <c r="H163" i="6"/>
  <c r="I164" i="6"/>
  <c r="H164" i="6"/>
  <c r="I38" i="6"/>
  <c r="H38" i="6"/>
  <c r="I37" i="6"/>
  <c r="H37" i="6"/>
  <c r="I36" i="6"/>
  <c r="H36" i="6"/>
  <c r="I35" i="6"/>
  <c r="H35" i="6"/>
  <c r="I34" i="6"/>
  <c r="H34" i="6"/>
  <c r="I69" i="6"/>
  <c r="H69" i="6"/>
  <c r="I58" i="6"/>
  <c r="H58" i="6"/>
  <c r="I47" i="6"/>
  <c r="H47" i="6"/>
  <c r="I46" i="6"/>
  <c r="H46" i="6"/>
  <c r="I45" i="6"/>
  <c r="H45" i="6"/>
  <c r="I44" i="6"/>
  <c r="H44" i="6"/>
  <c r="I43" i="6"/>
  <c r="H43" i="6"/>
  <c r="I42" i="6"/>
  <c r="H42" i="6"/>
  <c r="I41" i="6"/>
  <c r="H41" i="6"/>
  <c r="I40" i="6"/>
  <c r="H40" i="6"/>
  <c r="I139" i="6" l="1"/>
  <c r="G139" i="6"/>
  <c r="H139" i="6" s="1"/>
  <c r="I138" i="6"/>
  <c r="G138" i="6"/>
  <c r="H138" i="6" s="1"/>
  <c r="I137" i="6"/>
  <c r="G137" i="6"/>
  <c r="H137" i="6" s="1"/>
  <c r="I136" i="6"/>
  <c r="G136" i="6"/>
  <c r="H136" i="6" s="1"/>
  <c r="I39" i="6"/>
  <c r="I363" i="6"/>
  <c r="G363" i="6"/>
  <c r="H363" i="6" s="1"/>
  <c r="I408" i="6"/>
  <c r="G408" i="6"/>
  <c r="H408" i="6" s="1"/>
  <c r="I379" i="6"/>
  <c r="G379" i="6"/>
  <c r="H379" i="6" s="1"/>
  <c r="I378" i="6"/>
  <c r="G378" i="6"/>
  <c r="H378" i="6" s="1"/>
  <c r="I377" i="6"/>
  <c r="G377" i="6"/>
  <c r="H377" i="6" s="1"/>
  <c r="I376" i="6"/>
  <c r="G376" i="6"/>
  <c r="H376" i="6" s="1"/>
  <c r="I375" i="6"/>
  <c r="G375" i="6"/>
  <c r="H375" i="6" s="1"/>
  <c r="I406" i="6"/>
  <c r="G406" i="6"/>
  <c r="H406" i="6" s="1"/>
  <c r="I405" i="6"/>
  <c r="G405" i="6"/>
  <c r="H405" i="6" s="1"/>
  <c r="I404" i="6"/>
  <c r="G404" i="6"/>
  <c r="H404" i="6" s="1"/>
  <c r="I403" i="6"/>
  <c r="G403" i="6"/>
  <c r="H403" i="6" s="1"/>
  <c r="I402" i="6"/>
  <c r="G402" i="6"/>
  <c r="H402" i="6" s="1"/>
  <c r="I373" i="6"/>
  <c r="G373" i="6"/>
  <c r="H373" i="6" s="1"/>
  <c r="I374" i="6"/>
  <c r="G374" i="6"/>
  <c r="H374" i="6" s="1"/>
  <c r="I371" i="6"/>
  <c r="G371" i="6"/>
  <c r="H371" i="6" s="1"/>
  <c r="I372" i="6"/>
  <c r="G372" i="6"/>
  <c r="H372" i="6" s="1"/>
  <c r="I370" i="6"/>
  <c r="G370" i="6"/>
  <c r="H370" i="6" s="1"/>
  <c r="I368" i="6"/>
  <c r="G368" i="6"/>
  <c r="H368" i="6" s="1"/>
  <c r="I369" i="6"/>
  <c r="G369" i="6"/>
  <c r="H369" i="6" s="1"/>
  <c r="I401" i="6"/>
  <c r="G401" i="6"/>
  <c r="H401" i="6" s="1"/>
  <c r="I400" i="6"/>
  <c r="G400" i="6"/>
  <c r="H400" i="6" s="1"/>
  <c r="I399" i="6"/>
  <c r="G399" i="6"/>
  <c r="H399" i="6" s="1"/>
  <c r="I398" i="6"/>
  <c r="G398" i="6"/>
  <c r="H398" i="6" s="1"/>
  <c r="I397" i="6"/>
  <c r="G397" i="6"/>
  <c r="H397" i="6" s="1"/>
  <c r="I385" i="6"/>
  <c r="G385" i="6"/>
  <c r="H385" i="6" s="1"/>
  <c r="I407" i="6"/>
  <c r="G407" i="6"/>
  <c r="H407" i="6" s="1"/>
  <c r="I362" i="6"/>
  <c r="G362" i="6"/>
  <c r="H362" i="6" s="1"/>
  <c r="I393" i="6"/>
  <c r="G393" i="6"/>
  <c r="H393" i="6" s="1"/>
  <c r="I388" i="6"/>
  <c r="G388" i="6"/>
  <c r="H388" i="6" s="1"/>
  <c r="I387" i="6"/>
  <c r="G387" i="6"/>
  <c r="H387" i="6" s="1"/>
  <c r="I386" i="6"/>
  <c r="G386" i="6"/>
  <c r="H386" i="6" s="1"/>
  <c r="I396" i="6"/>
  <c r="G396" i="6"/>
  <c r="H396" i="6" s="1"/>
  <c r="I395" i="6"/>
  <c r="G395" i="6"/>
  <c r="H395" i="6" s="1"/>
  <c r="I394" i="6"/>
  <c r="G394" i="6"/>
  <c r="H394" i="6" s="1"/>
  <c r="G381" i="6"/>
  <c r="H381" i="6" s="1"/>
  <c r="I381" i="6"/>
  <c r="G382" i="6"/>
  <c r="H382" i="6" s="1"/>
  <c r="I382" i="6"/>
  <c r="G383" i="6"/>
  <c r="H383" i="6" s="1"/>
  <c r="I383" i="6"/>
  <c r="G384" i="6"/>
  <c r="H384" i="6" s="1"/>
  <c r="I384" i="6"/>
  <c r="J229" i="6"/>
  <c r="I229" i="6"/>
  <c r="G229" i="6"/>
  <c r="H229" i="6" s="1"/>
  <c r="J228" i="6"/>
  <c r="I228" i="6"/>
  <c r="G228" i="6"/>
  <c r="H228" i="6" s="1"/>
  <c r="H3" i="6" l="1"/>
  <c r="J3" i="6"/>
  <c r="T188" i="6"/>
  <c r="Q188" i="6" s="1"/>
  <c r="T187" i="6"/>
  <c r="Q187" i="6" s="1"/>
  <c r="K3" i="6"/>
  <c r="G3" i="6"/>
  <c r="I40" i="1"/>
  <c r="G14" i="1" l="1"/>
  <c r="H14" i="1"/>
  <c r="I14" i="1" l="1"/>
  <c r="E30" i="1" l="1"/>
  <c r="I380" i="6"/>
  <c r="G380" i="6"/>
  <c r="H380" i="6" s="1"/>
  <c r="I411" i="6"/>
  <c r="G411" i="6"/>
  <c r="I410" i="6"/>
  <c r="G410" i="6"/>
  <c r="H410" i="6" s="1"/>
  <c r="I409" i="6"/>
  <c r="G409" i="6"/>
  <c r="H409" i="6" s="1"/>
  <c r="I392" i="6"/>
  <c r="G392" i="6"/>
  <c r="H392" i="6" s="1"/>
  <c r="I391" i="6"/>
  <c r="G391" i="6"/>
  <c r="I390" i="6"/>
  <c r="G390" i="6"/>
  <c r="H390" i="6" s="1"/>
  <c r="I389" i="6"/>
  <c r="G389" i="6"/>
  <c r="H389" i="6" s="1"/>
  <c r="I197" i="6"/>
  <c r="G197" i="6"/>
  <c r="H197" i="6" s="1"/>
  <c r="I196" i="6"/>
  <c r="G196" i="6"/>
  <c r="H196" i="6" s="1"/>
  <c r="I195" i="6"/>
  <c r="G195" i="6"/>
  <c r="H195" i="6" s="1"/>
  <c r="I194" i="6"/>
  <c r="K194" i="6" s="1"/>
  <c r="G194" i="6"/>
  <c r="H194" i="6" s="1"/>
  <c r="I193" i="6"/>
  <c r="K193" i="6" s="1"/>
  <c r="G193" i="6"/>
  <c r="H193" i="6" s="1"/>
  <c r="I192" i="6"/>
  <c r="K192" i="6" s="1"/>
  <c r="G192" i="6"/>
  <c r="H192" i="6" s="1"/>
  <c r="I162" i="6"/>
  <c r="G162" i="6"/>
  <c r="H162" i="6" s="1"/>
  <c r="I161" i="6"/>
  <c r="G161" i="6"/>
  <c r="H161" i="6" s="1"/>
  <c r="I160" i="6"/>
  <c r="G160" i="6"/>
  <c r="H160" i="6" s="1"/>
  <c r="I425" i="6"/>
  <c r="G425" i="6"/>
  <c r="H425" i="6" s="1"/>
  <c r="I412" i="6"/>
  <c r="G412" i="6"/>
  <c r="H412" i="6" s="1"/>
  <c r="I200" i="6"/>
  <c r="G200" i="6"/>
  <c r="H200" i="6" s="1"/>
  <c r="I199" i="6"/>
  <c r="G199" i="6"/>
  <c r="H199" i="6" s="1"/>
  <c r="I198" i="6"/>
  <c r="G198" i="6"/>
  <c r="H198" i="6" s="1"/>
  <c r="I291" i="6"/>
  <c r="G291" i="6"/>
  <c r="H291" i="6" s="1"/>
  <c r="I290" i="6"/>
  <c r="G290" i="6"/>
  <c r="H290" i="6" s="1"/>
  <c r="I289" i="6"/>
  <c r="G289" i="6"/>
  <c r="H289" i="6" s="1"/>
  <c r="I288" i="6"/>
  <c r="G288" i="6"/>
  <c r="H288" i="6" s="1"/>
  <c r="I339" i="6"/>
  <c r="G339" i="6"/>
  <c r="H339" i="6" s="1"/>
  <c r="I338" i="6"/>
  <c r="G338" i="6"/>
  <c r="H338" i="6" s="1"/>
  <c r="I337" i="6"/>
  <c r="G337" i="6"/>
  <c r="H337" i="6" s="1"/>
  <c r="I336" i="6"/>
  <c r="G336" i="6"/>
  <c r="H336" i="6" s="1"/>
  <c r="I335" i="6"/>
  <c r="G335" i="6"/>
  <c r="H335" i="6" s="1"/>
  <c r="I334" i="6"/>
  <c r="G334" i="6"/>
  <c r="H334" i="6" s="1"/>
  <c r="I332" i="6"/>
  <c r="G332" i="6"/>
  <c r="H332" i="6" s="1"/>
  <c r="I333" i="6"/>
  <c r="G333" i="6"/>
  <c r="H333" i="6" s="1"/>
  <c r="I331" i="6"/>
  <c r="G331" i="6"/>
  <c r="H331" i="6" s="1"/>
  <c r="I155" i="6"/>
  <c r="G155" i="6"/>
  <c r="H155" i="6" s="1"/>
  <c r="I154" i="6"/>
  <c r="G154" i="6"/>
  <c r="H154" i="6" s="1"/>
  <c r="I153" i="6"/>
  <c r="G153" i="6"/>
  <c r="H153" i="6" s="1"/>
  <c r="I152" i="6"/>
  <c r="G152" i="6"/>
  <c r="H152" i="6" s="1"/>
  <c r="I151" i="6"/>
  <c r="G151" i="6"/>
  <c r="H151" i="6" s="1"/>
  <c r="I150" i="6"/>
  <c r="G150" i="6"/>
  <c r="H150" i="6" s="1"/>
  <c r="I149" i="6"/>
  <c r="G149" i="6"/>
  <c r="H149" i="6" s="1"/>
  <c r="I191" i="6"/>
  <c r="G191" i="6"/>
  <c r="H191" i="6" s="1"/>
  <c r="I190" i="6"/>
  <c r="G190" i="6"/>
  <c r="H190" i="6" s="1"/>
  <c r="I189" i="6"/>
  <c r="G189" i="6"/>
  <c r="I188" i="6"/>
  <c r="G188" i="6"/>
  <c r="I187" i="6"/>
  <c r="G187" i="6"/>
  <c r="H187" i="6" s="1"/>
  <c r="I367" i="6"/>
  <c r="K367" i="6" s="1"/>
  <c r="G367" i="6"/>
  <c r="H367" i="6" s="1"/>
  <c r="I366" i="6"/>
  <c r="K366" i="6" s="1"/>
  <c r="G366" i="6"/>
  <c r="H366" i="6" s="1"/>
  <c r="I365" i="6"/>
  <c r="K365" i="6" s="1"/>
  <c r="G365" i="6"/>
  <c r="H365" i="6" s="1"/>
  <c r="I364" i="6"/>
  <c r="K364" i="6" s="1"/>
  <c r="G364" i="6"/>
  <c r="H364" i="6" s="1"/>
  <c r="I308" i="6"/>
  <c r="K308" i="6" s="1"/>
  <c r="G308" i="6"/>
  <c r="H308" i="6" s="1"/>
  <c r="I307" i="6"/>
  <c r="K307" i="6" s="1"/>
  <c r="G307" i="6"/>
  <c r="H307" i="6" s="1"/>
  <c r="I306" i="6"/>
  <c r="K306" i="6" s="1"/>
  <c r="G306" i="6"/>
  <c r="H306" i="6" s="1"/>
  <c r="I305" i="6"/>
  <c r="K305" i="6" s="1"/>
  <c r="G305" i="6"/>
  <c r="H305" i="6" s="1"/>
  <c r="J270" i="6"/>
  <c r="G270" i="6"/>
  <c r="H270" i="6" s="1"/>
  <c r="K269" i="6"/>
  <c r="J269" i="6"/>
  <c r="G269" i="6"/>
  <c r="H269" i="6" s="1"/>
  <c r="K267" i="6"/>
  <c r="J267" i="6"/>
  <c r="G267" i="6"/>
  <c r="H267" i="6" s="1"/>
  <c r="J266" i="6"/>
  <c r="G266" i="6"/>
  <c r="H266" i="6" s="1"/>
  <c r="K264" i="6"/>
  <c r="J264" i="6"/>
  <c r="G264" i="6"/>
  <c r="H264" i="6" s="1"/>
  <c r="J263" i="6"/>
  <c r="G263" i="6"/>
  <c r="H263" i="6" s="1"/>
  <c r="J262" i="6"/>
  <c r="G262" i="6"/>
  <c r="H262" i="6" s="1"/>
  <c r="K260" i="6"/>
  <c r="J260" i="6"/>
  <c r="G260" i="6"/>
  <c r="H260" i="6" s="1"/>
  <c r="K259" i="6"/>
  <c r="J259" i="6"/>
  <c r="G259" i="6"/>
  <c r="H259" i="6" s="1"/>
  <c r="K258" i="6"/>
  <c r="J258" i="6"/>
  <c r="G258" i="6"/>
  <c r="H258" i="6" s="1"/>
  <c r="J256" i="6"/>
  <c r="G256" i="6"/>
  <c r="H256" i="6" s="1"/>
  <c r="K254" i="6"/>
  <c r="J254" i="6"/>
  <c r="G254" i="6"/>
  <c r="H254" i="6" s="1"/>
  <c r="K253" i="6"/>
  <c r="J253" i="6"/>
  <c r="G253" i="6"/>
  <c r="H253" i="6" s="1"/>
  <c r="J252" i="6"/>
  <c r="G252" i="6"/>
  <c r="H252" i="6" s="1"/>
  <c r="K251" i="6"/>
  <c r="J251" i="6"/>
  <c r="G251" i="6"/>
  <c r="H251" i="6" s="1"/>
  <c r="K250" i="6"/>
  <c r="J250" i="6"/>
  <c r="G250" i="6"/>
  <c r="H250" i="6" s="1"/>
  <c r="K249" i="6"/>
  <c r="J249" i="6"/>
  <c r="G249" i="6"/>
  <c r="H249" i="6" s="1"/>
  <c r="J248" i="6"/>
  <c r="G248" i="6"/>
  <c r="H248" i="6" s="1"/>
  <c r="K246" i="6"/>
  <c r="J246" i="6"/>
  <c r="G246" i="6"/>
  <c r="H246" i="6" s="1"/>
  <c r="J245" i="6"/>
  <c r="G245" i="6"/>
  <c r="H245" i="6" s="1"/>
  <c r="K243" i="6"/>
  <c r="J243" i="6"/>
  <c r="G243" i="6"/>
  <c r="H243" i="6" s="1"/>
  <c r="J241" i="6"/>
  <c r="G241" i="6"/>
  <c r="H241" i="6" s="1"/>
  <c r="K239" i="6"/>
  <c r="J239" i="6"/>
  <c r="G239" i="6"/>
  <c r="H239" i="6" s="1"/>
  <c r="J238" i="6"/>
  <c r="G238" i="6"/>
  <c r="H238" i="6" s="1"/>
  <c r="K236" i="6"/>
  <c r="J236" i="6"/>
  <c r="G236" i="6"/>
  <c r="H236" i="6" s="1"/>
  <c r="J234" i="6"/>
  <c r="I234" i="6"/>
  <c r="G234" i="6"/>
  <c r="H234" i="6" s="1"/>
  <c r="J232" i="6"/>
  <c r="I232" i="6"/>
  <c r="G232" i="6"/>
  <c r="H232" i="6" s="1"/>
  <c r="J230" i="6"/>
  <c r="I230" i="6"/>
  <c r="G230" i="6"/>
  <c r="H230" i="6" s="1"/>
  <c r="I3" i="6"/>
  <c r="F3" i="6"/>
  <c r="D64" i="5"/>
  <c r="D39" i="5"/>
  <c r="D38" i="5"/>
  <c r="D37" i="5"/>
  <c r="D36" i="5"/>
  <c r="D35" i="5"/>
  <c r="D34" i="5"/>
  <c r="D33" i="5"/>
  <c r="D32" i="5"/>
  <c r="D31" i="5"/>
  <c r="D30" i="5"/>
  <c r="D27" i="5"/>
  <c r="H2" i="5"/>
  <c r="D3" i="5"/>
  <c r="C3" i="2"/>
  <c r="G30" i="1" s="1"/>
  <c r="C4" i="2"/>
  <c r="H189" i="6" l="1"/>
  <c r="J8" i="9"/>
  <c r="H188" i="6"/>
  <c r="J9" i="9"/>
  <c r="H411" i="6"/>
  <c r="J12" i="9"/>
  <c r="C67" i="5"/>
  <c r="L8" i="9" s="1"/>
  <c r="I10" i="1"/>
  <c r="C57" i="1" s="1"/>
  <c r="E67" i="5"/>
  <c r="D4" i="5"/>
  <c r="D57" i="1"/>
  <c r="C59" i="5"/>
  <c r="F57" i="1" s="1"/>
  <c r="H391" i="6"/>
  <c r="I57" i="1"/>
  <c r="C18" i="2"/>
  <c r="C19" i="2"/>
  <c r="C20" i="2"/>
  <c r="C21" i="2"/>
  <c r="C22" i="2"/>
  <c r="C23" i="2"/>
  <c r="C24" i="2"/>
  <c r="C17" i="2"/>
  <c r="H39" i="6"/>
  <c r="F39" i="6"/>
  <c r="D58" i="1" l="1"/>
  <c r="G57" i="1"/>
  <c r="G58" i="1" s="1"/>
  <c r="E57" i="1"/>
  <c r="H57" i="1" l="1"/>
</calcChain>
</file>

<file path=xl/comments1.xml><?xml version="1.0" encoding="utf-8"?>
<comments xmlns="http://schemas.openxmlformats.org/spreadsheetml/2006/main">
  <authors>
    <author>aauduteau</author>
  </authors>
  <commentList>
    <comment ref="E13" authorId="0" shapeId="0">
      <text>
        <r>
          <rPr>
            <sz val="9"/>
            <color indexed="81"/>
            <rFont val="Tahoma"/>
            <family val="2"/>
          </rPr>
          <t xml:space="preserve">Haut rendement = arc de haute compétition (carbone)
</t>
        </r>
      </text>
    </comment>
    <comment ref="G13" authorId="0" shapeId="0">
      <text>
        <r>
          <rPr>
            <b/>
            <sz val="9"/>
            <color indexed="81"/>
            <rFont val="Tahoma"/>
            <family val="2"/>
          </rPr>
          <t xml:space="preserve">Auto-Calculé
</t>
        </r>
        <r>
          <rPr>
            <sz val="9"/>
            <color indexed="81"/>
            <rFont val="Tahoma"/>
            <family val="2"/>
          </rPr>
          <t xml:space="preserve">en fonction de votre allonge et des références de puissance des branches et de la taille de la poignée.
</t>
        </r>
      </text>
    </comment>
    <comment ref="H13" authorId="0" shapeId="0">
      <text>
        <r>
          <rPr>
            <b/>
            <sz val="9"/>
            <color indexed="81"/>
            <rFont val="Tahoma"/>
            <family val="2"/>
          </rPr>
          <t>Auto-Calculé</t>
        </r>
        <r>
          <rPr>
            <sz val="9"/>
            <color indexed="81"/>
            <rFont val="Tahoma"/>
            <family val="2"/>
          </rPr>
          <t xml:space="preserve">
en fonction  des références des branches et de la taille de la poignée.</t>
        </r>
      </text>
    </comment>
    <comment ref="H19" authorId="0" shapeId="0">
      <text>
        <r>
          <rPr>
            <sz val="9"/>
            <color indexed="81"/>
            <rFont val="Tahoma"/>
            <family val="2"/>
          </rPr>
          <t xml:space="preserve">Surtout pour les chasses et longbows. 
Ecart entre le centre de l'arc et le tapis de fenêtre d'arc. Peut être négatif ou positif.
Les CL, BB et poulie sont center cut à 0.
</t>
        </r>
      </text>
    </comment>
    <comment ref="G29" authorId="0" shapeId="0">
      <text>
        <r>
          <rPr>
            <b/>
            <sz val="9"/>
            <color indexed="81"/>
            <rFont val="Tahoma"/>
            <family val="2"/>
          </rPr>
          <t xml:space="preserve">Autocalculé
</t>
        </r>
        <r>
          <rPr>
            <sz val="9"/>
            <color indexed="81"/>
            <rFont val="Tahoma"/>
            <family val="2"/>
          </rPr>
          <t xml:space="preserve">Mais peut être écrasé par votre mesure
</t>
        </r>
      </text>
    </comment>
    <comment ref="F31" authorId="0" shapeId="0">
      <text>
        <r>
          <rPr>
            <sz val="9"/>
            <color indexed="81"/>
            <rFont val="Tahoma"/>
            <family val="2"/>
          </rPr>
          <t>Longueur du Tranche Fil sous la boucle</t>
        </r>
      </text>
    </comment>
    <comment ref="G31" authorId="0" shapeId="0">
      <text>
        <r>
          <rPr>
            <sz val="9"/>
            <color indexed="81"/>
            <rFont val="Tahoma"/>
            <family val="2"/>
          </rPr>
          <t xml:space="preserve">Taille de la boucle basse / boucle haute
</t>
        </r>
      </text>
    </comment>
    <comment ref="F33" authorId="0" shapeId="0">
      <text>
        <r>
          <rPr>
            <sz val="9"/>
            <color indexed="81"/>
            <rFont val="Tahoma"/>
            <family val="2"/>
          </rPr>
          <t xml:space="preserve">Taille du TF au dessus du Nock bas (point de détalonage)
</t>
        </r>
      </text>
    </comment>
    <comment ref="G33" authorId="0" shapeId="0">
      <text>
        <r>
          <rPr>
            <sz val="9"/>
            <color indexed="81"/>
            <rFont val="Tahoma"/>
            <family val="2"/>
          </rPr>
          <t xml:space="preserve">Taille du TF au dessous du Nock bas (point de détalonage)
</t>
        </r>
      </text>
    </comment>
    <comment ref="G35" authorId="0" shapeId="0">
      <text>
        <r>
          <rPr>
            <sz val="9"/>
            <color indexed="81"/>
            <rFont val="Tahoma"/>
            <family val="2"/>
          </rPr>
          <t xml:space="preserve">Position du nock haut (ou bas, choisissez) par rapport au plancher ou repose-flèche
</t>
        </r>
      </text>
    </comment>
    <comment ref="H35" authorId="0" shapeId="0">
      <text>
        <r>
          <rPr>
            <sz val="9"/>
            <color indexed="81"/>
            <rFont val="Tahoma"/>
            <family val="2"/>
          </rPr>
          <t xml:space="preserve">Position du nock haut (ou bas, choisissez) par rapport au plancher ou repose-flèche
</t>
        </r>
      </text>
    </comment>
    <comment ref="I39" authorId="0" shapeId="0">
      <text>
        <r>
          <rPr>
            <sz val="9"/>
            <color indexed="81"/>
            <rFont val="Tahoma"/>
            <family val="2"/>
          </rPr>
          <t>Le tiller a pour but de corriger la prise de corde méditérranéenne, et le fait que la flèche ne se trouve pas exactement au centre de la corde.
Tiller = Mesure haute-mesure basse (0-&gt;0,8cm)</t>
        </r>
      </text>
    </comment>
    <comment ref="F41" authorId="0" shapeId="0">
      <text>
        <r>
          <rPr>
            <sz val="9"/>
            <color indexed="81"/>
            <rFont val="Tahoma"/>
            <family val="2"/>
          </rPr>
          <t xml:space="preserve">Distance entre le bout du poussoir et le bord de fenêtre extérieur (au niveau de la bague de calage).
</t>
        </r>
      </text>
    </comment>
    <comment ref="G41" authorId="0" shapeId="0">
      <text>
        <r>
          <rPr>
            <sz val="9"/>
            <color indexed="81"/>
            <rFont val="Tahoma"/>
            <family val="2"/>
          </rPr>
          <t>Nombre de tours depuis la position bloquée du ressort</t>
        </r>
      </text>
    </comment>
    <comment ref="F43" authorId="0" shapeId="0">
      <text>
        <r>
          <rPr>
            <sz val="9"/>
            <color indexed="81"/>
            <rFont val="Tahoma"/>
            <family val="2"/>
          </rPr>
          <t xml:space="preserve">Hauteur du repose flèche par rapport au plancher
Ou épaisseur du tapis d'arc (double-face inclus)
</t>
        </r>
      </text>
    </comment>
    <comment ref="G43" authorId="0" shapeId="0">
      <text>
        <r>
          <rPr>
            <sz val="9"/>
            <color indexed="81"/>
            <rFont val="Tahoma"/>
            <family val="2"/>
          </rPr>
          <t xml:space="preserve"> (double-face inclus) pour les tapis.
Sinon écart du Berger
</t>
        </r>
      </text>
    </comment>
    <comment ref="H43" authorId="0" shapeId="0">
      <text>
        <r>
          <rPr>
            <sz val="9"/>
            <color indexed="81"/>
            <rFont val="Tahoma"/>
            <family val="2"/>
          </rPr>
          <t xml:space="preserve">Pour les arc poulies
</t>
        </r>
      </text>
    </comment>
    <comment ref="F45" authorId="0" shapeId="0">
      <text>
        <r>
          <rPr>
            <sz val="9"/>
            <color indexed="81"/>
            <rFont val="Tahoma"/>
            <family val="2"/>
          </rPr>
          <t xml:space="preserve">Hauteur du repose Longueur hors tout
</t>
        </r>
      </text>
    </comment>
    <comment ref="G45" authorId="0" shapeId="0">
      <text>
        <r>
          <rPr>
            <sz val="9"/>
            <color indexed="81"/>
            <rFont val="Tahoma"/>
            <family val="2"/>
          </rPr>
          <t xml:space="preserve">Poid de la stab y compris les masses et le poids de l'attache de Vbar
</t>
        </r>
      </text>
    </comment>
    <comment ref="I45" authorId="0" shapeId="0">
      <text>
        <r>
          <rPr>
            <sz val="9"/>
            <color indexed="81"/>
            <rFont val="Tahoma"/>
            <family val="2"/>
          </rPr>
          <t>Poid d'une Vbar y compris les masses</t>
        </r>
      </text>
    </comment>
    <comment ref="F47" authorId="0" shapeId="0">
      <text>
        <r>
          <rPr>
            <sz val="9"/>
            <color indexed="81"/>
            <rFont val="Tahoma"/>
            <family val="2"/>
          </rPr>
          <t xml:space="preserve">Poulies : Distance entre la visette et le point d'encochage.
(13 à 16 cm)
</t>
        </r>
      </text>
    </comment>
    <comment ref="E51" authorId="0" shapeId="0">
      <text>
        <r>
          <rPr>
            <sz val="9"/>
            <color indexed="81"/>
            <rFont val="Tahoma"/>
            <family val="2"/>
          </rPr>
          <t xml:space="preserve">Ajout de poids coté encoche ou crest/wrap
en grains
</t>
        </r>
      </text>
    </comment>
    <comment ref="F51" authorId="0" shapeId="0">
      <text>
        <r>
          <rPr>
            <sz val="9"/>
            <color indexed="81"/>
            <rFont val="Tahoma"/>
            <family val="2"/>
          </rPr>
          <t xml:space="preserve">Du creux (Cœur) d'encoche jusqu'à l'insert de pointe.
</t>
        </r>
      </text>
    </comment>
    <comment ref="H51" authorId="0" shapeId="0">
      <text>
        <r>
          <rPr>
            <sz val="9"/>
            <color indexed="81"/>
            <rFont val="Tahoma"/>
            <family val="2"/>
          </rPr>
          <t>Ajout de poids coté pointe en sus de l'insert/pointe.
En grains</t>
        </r>
      </text>
    </comment>
    <comment ref="I51" authorId="0" shapeId="0">
      <text>
        <r>
          <rPr>
            <sz val="9"/>
            <color indexed="81"/>
            <rFont val="Tahoma"/>
            <family val="2"/>
          </rPr>
          <t>Poids de la pointe</t>
        </r>
      </text>
    </comment>
    <comment ref="C53" authorId="0" shapeId="0">
      <text>
        <r>
          <rPr>
            <sz val="9"/>
            <color indexed="81"/>
            <rFont val="Tahoma"/>
            <family val="2"/>
          </rPr>
          <t xml:space="preserve">Données pour les fûts bois ou tube non référencés
</t>
        </r>
      </text>
    </comment>
    <comment ref="E53" authorId="0" shapeId="0">
      <text>
        <r>
          <rPr>
            <sz val="9"/>
            <color indexed="81"/>
            <rFont val="Tahoma"/>
            <family val="2"/>
          </rPr>
          <t>Deflection @ 28" w/1.94#
Norme ATSM</t>
        </r>
      </text>
    </comment>
    <comment ref="G53" authorId="0" shapeId="0">
      <text>
        <r>
          <rPr>
            <sz val="9"/>
            <color indexed="81"/>
            <rFont val="Tahoma"/>
            <family val="2"/>
          </rPr>
          <t xml:space="preserve">En grains par pouce.
Poids du fut / longueur
</t>
        </r>
      </text>
    </comment>
    <comment ref="H53" authorId="0" shapeId="0">
      <text>
        <r>
          <rPr>
            <sz val="9"/>
            <color indexed="81"/>
            <rFont val="Tahoma"/>
            <family val="2"/>
          </rPr>
          <t>Diamètre externe en 64éme de pouce.
5/16 =&gt;20
11/32 =&gt; 22
23/64 =&gt; 23
Sinon : 
ARRONDI.SUP(Outside Diameter (OD)
 en pouce*64;0)</t>
        </r>
      </text>
    </comment>
    <comment ref="F56" authorId="0" shapeId="0">
      <text>
        <r>
          <rPr>
            <sz val="9"/>
            <color indexed="81"/>
            <rFont val="Tahoma"/>
            <family val="2"/>
          </rPr>
          <t xml:space="preserve">Un FOC standard est compris entre 10 et 16%.
Au-delà, on parle de EFOC
</t>
        </r>
      </text>
    </comment>
    <comment ref="G56" authorId="0" shapeId="0">
      <text>
        <r>
          <rPr>
            <sz val="9"/>
            <color indexed="81"/>
            <rFont val="Tahoma"/>
            <family val="2"/>
          </rPr>
          <t xml:space="preserve">Foot Per Second
</t>
        </r>
      </text>
    </comment>
    <comment ref="H56" authorId="0" shapeId="0">
      <text>
        <r>
          <rPr>
            <sz val="9"/>
            <color indexed="81"/>
            <rFont val="Tahoma"/>
            <family val="2"/>
          </rPr>
          <t xml:space="preserve">Foot per Livre
</t>
        </r>
      </text>
    </comment>
  </commentList>
</comments>
</file>

<file path=xl/comments2.xml><?xml version="1.0" encoding="utf-8"?>
<comments xmlns="http://schemas.openxmlformats.org/spreadsheetml/2006/main">
  <authors>
    <author>aauduteau</author>
  </authors>
  <commentList>
    <comment ref="D7" authorId="0" shapeId="0">
      <text>
        <r>
          <rPr>
            <sz val="9"/>
            <color indexed="81"/>
            <rFont val="Tahoma"/>
            <charset val="1"/>
          </rPr>
          <t xml:space="preserve">Au cas où la potence ait subi un décalage et ne soit plus alignée avec la corde.
</t>
        </r>
      </text>
    </comment>
  </commentList>
</comments>
</file>

<file path=xl/comments3.xml><?xml version="1.0" encoding="utf-8"?>
<comments xmlns="http://schemas.openxmlformats.org/spreadsheetml/2006/main">
  <authors>
    <author>butely</author>
    <author>aauduteau</author>
  </authors>
  <commentList>
    <comment ref="C4" authorId="0" shapeId="0">
      <text>
        <r>
          <rPr>
            <sz val="8"/>
            <color indexed="81"/>
            <rFont val="Tahoma"/>
          </rPr>
          <t>Vintage : Arc Droit ou recurve "lent" (</t>
        </r>
        <r>
          <rPr>
            <sz val="8"/>
            <color indexed="81"/>
            <rFont val="Symbol"/>
            <family val="1"/>
            <charset val="2"/>
          </rPr>
          <t>h</t>
        </r>
        <r>
          <rPr>
            <sz val="8"/>
            <color indexed="81"/>
            <rFont val="Tahoma"/>
          </rPr>
          <t>&lt;75%)
Arc standard (75%&lt;</t>
        </r>
        <r>
          <rPr>
            <sz val="8"/>
            <color indexed="81"/>
            <rFont val="Symbol"/>
            <family val="1"/>
            <charset val="2"/>
          </rPr>
          <t>h</t>
        </r>
        <r>
          <rPr>
            <sz val="8"/>
            <color indexed="81"/>
            <rFont val="Tahoma"/>
          </rPr>
          <t>&lt;80%)
Arc Haut rendement (</t>
        </r>
        <r>
          <rPr>
            <sz val="8"/>
            <color indexed="81"/>
            <rFont val="Symbol"/>
            <family val="1"/>
            <charset val="2"/>
          </rPr>
          <t>h</t>
        </r>
        <r>
          <rPr>
            <sz val="8"/>
            <color indexed="81"/>
            <rFont val="Tahoma"/>
          </rPr>
          <t>&gt;80%) type ACS</t>
        </r>
      </text>
    </comment>
    <comment ref="I4" authorId="0" shapeId="0">
      <text>
        <r>
          <rPr>
            <sz val="8"/>
            <color indexed="81"/>
            <rFont val="Tahoma"/>
            <family val="2"/>
          </rPr>
          <t>B50 : Dacron
FF : corde fast flight standard 18 brins
FF optimisée : corde FF optimisée (par ex 10 brins Astro)</t>
        </r>
      </text>
    </comment>
    <comment ref="E7" authorId="1" shapeId="0">
      <text>
        <r>
          <rPr>
            <b/>
            <sz val="9"/>
            <color indexed="81"/>
            <rFont val="Tahoma"/>
            <family val="2"/>
          </rPr>
          <t>mesuré du creux d'encoche à l'arrière de la pointe</t>
        </r>
      </text>
    </comment>
    <comment ref="H7" authorId="1" shapeId="0">
      <text>
        <r>
          <rPr>
            <sz val="9"/>
            <color indexed="81"/>
            <rFont val="Tahoma"/>
            <family val="2"/>
          </rPr>
          <t xml:space="preserve">Masse additionnelle côté encoche
crest = 15 grain
(masse encoche déjà comptée)
</t>
        </r>
      </text>
    </comment>
    <comment ref="F18" authorId="1" shapeId="0">
      <text>
        <r>
          <rPr>
            <sz val="9"/>
            <color indexed="81"/>
            <rFont val="Tahoma"/>
            <family val="2"/>
          </rPr>
          <t>Deflection @ 28" w/1.94#
Norme ATSM
=(Deflection ATA @ 26" w/2#)/0,825</t>
        </r>
      </text>
    </comment>
    <comment ref="H18" authorId="1" shapeId="0">
      <text>
        <r>
          <rPr>
            <sz val="9"/>
            <color indexed="81"/>
            <rFont val="Tahoma"/>
            <family val="2"/>
          </rPr>
          <t xml:space="preserve">En grains par pouce.
Poids du fut / longueur
</t>
        </r>
      </text>
    </comment>
    <comment ref="I18" authorId="1" shapeId="0">
      <text>
        <r>
          <rPr>
            <sz val="9"/>
            <color indexed="81"/>
            <rFont val="Tahoma"/>
            <family val="2"/>
          </rPr>
          <t>Diamètre externe en 64éme de pouce.
5/16 =&gt;20
11/32 =&gt; 22
23/64 =&gt; 23
Sinon : 
ARRONDI.SUP(Outside Diameter (OD)
 en pouce*64;0)</t>
        </r>
      </text>
    </comment>
  </commentList>
</comments>
</file>

<file path=xl/comments4.xml><?xml version="1.0" encoding="utf-8"?>
<comments xmlns="http://schemas.openxmlformats.org/spreadsheetml/2006/main">
  <authors>
    <author>butel yves</author>
    <author>aauduteau</author>
    <author>bubu</author>
  </authors>
  <commentList>
    <comment ref="E2" authorId="0" shapeId="0">
      <text>
        <r>
          <rPr>
            <b/>
            <sz val="8"/>
            <color indexed="81"/>
            <rFont val="Tahoma"/>
            <family val="2"/>
          </rPr>
          <t>Entrez le nom du fût</t>
        </r>
        <r>
          <rPr>
            <sz val="8"/>
            <color indexed="81"/>
            <rFont val="Tahoma"/>
            <family val="2"/>
          </rPr>
          <t xml:space="preserve">
</t>
        </r>
      </text>
    </comment>
    <comment ref="F2" authorId="0" shapeId="0">
      <text>
        <r>
          <rPr>
            <b/>
            <sz val="8"/>
            <color indexed="81"/>
            <rFont val="Tahoma"/>
            <family val="2"/>
          </rPr>
          <t>Entrez le spine du fût</t>
        </r>
        <r>
          <rPr>
            <sz val="8"/>
            <color indexed="81"/>
            <rFont val="Tahoma"/>
            <family val="2"/>
          </rPr>
          <t xml:space="preserve">
=ATA/,825
</t>
        </r>
      </text>
    </comment>
    <comment ref="G2" authorId="1" shapeId="0">
      <text>
        <r>
          <rPr>
            <b/>
            <sz val="9"/>
            <color indexed="81"/>
            <rFont val="Tahoma"/>
            <charset val="1"/>
          </rPr>
          <t xml:space="preserve">=ASTM*,825
</t>
        </r>
        <r>
          <rPr>
            <sz val="9"/>
            <color indexed="81"/>
            <rFont val="Tahoma"/>
            <charset val="1"/>
          </rPr>
          <t xml:space="preserve">
</t>
        </r>
      </text>
    </comment>
    <comment ref="H2" authorId="2" shapeId="0">
      <text>
        <r>
          <rPr>
            <b/>
            <sz val="8"/>
            <color indexed="81"/>
            <rFont val="Tahoma"/>
            <family val="2"/>
          </rPr>
          <t>en #</t>
        </r>
        <r>
          <rPr>
            <sz val="8"/>
            <color indexed="81"/>
            <rFont val="Tahoma"/>
            <family val="2"/>
          </rPr>
          <t xml:space="preserve">
</t>
        </r>
      </text>
    </comment>
    <comment ref="J2" authorId="0" shapeId="0">
      <text>
        <r>
          <rPr>
            <b/>
            <sz val="8"/>
            <color indexed="81"/>
            <rFont val="Tahoma"/>
            <family val="2"/>
          </rPr>
          <t>en 64éme de pouce</t>
        </r>
        <r>
          <rPr>
            <sz val="8"/>
            <color indexed="81"/>
            <rFont val="Tahoma"/>
            <family val="2"/>
          </rPr>
          <t xml:space="preserve">
</t>
        </r>
      </text>
    </comment>
    <comment ref="K2" authorId="0" shapeId="0">
      <text>
        <r>
          <rPr>
            <b/>
            <sz val="8"/>
            <color indexed="81"/>
            <rFont val="Tahoma"/>
            <family val="2"/>
          </rPr>
          <t>Entrez la masse du fût en grains par pouce</t>
        </r>
      </text>
    </comment>
  </commentList>
</comments>
</file>

<file path=xl/comments5.xml><?xml version="1.0" encoding="utf-8"?>
<comments xmlns="http://schemas.openxmlformats.org/spreadsheetml/2006/main">
  <authors>
    <author>butely</author>
  </authors>
  <commentList>
    <comment ref="C58" authorId="0" shapeId="0">
      <text>
        <r>
          <rPr>
            <sz val="8"/>
            <color indexed="81"/>
            <rFont val="Tahoma"/>
            <family val="2"/>
          </rPr>
          <t>B50 : Dacron
FF : corde fast flight standard 18 brins
FF optimisée : corde FF optimisée (par ex 10 brins Astro)</t>
        </r>
      </text>
    </comment>
  </commentList>
</comments>
</file>

<file path=xl/sharedStrings.xml><?xml version="1.0" encoding="utf-8"?>
<sst xmlns="http://schemas.openxmlformats.org/spreadsheetml/2006/main" count="2272" uniqueCount="857">
  <si>
    <t>Poignée</t>
  </si>
  <si>
    <t>Types d'arc</t>
  </si>
  <si>
    <t>Démontable</t>
  </si>
  <si>
    <t>Monobloc</t>
  </si>
  <si>
    <t>Poulie</t>
  </si>
  <si>
    <t>Taille Poignée</t>
  </si>
  <si>
    <t>17"</t>
  </si>
  <si>
    <t>19"</t>
  </si>
  <si>
    <t>21"</t>
  </si>
  <si>
    <t>23"</t>
  </si>
  <si>
    <t>25"</t>
  </si>
  <si>
    <t>27"</t>
  </si>
  <si>
    <t>couleur</t>
  </si>
  <si>
    <t>Matériau</t>
  </si>
  <si>
    <t>ILF</t>
  </si>
  <si>
    <t>Matériau poignée</t>
  </si>
  <si>
    <t>Bois</t>
  </si>
  <si>
    <t>Aluminium</t>
  </si>
  <si>
    <t>Carbone</t>
  </si>
  <si>
    <t>Composite</t>
  </si>
  <si>
    <t>Type</t>
  </si>
  <si>
    <t>Droitier</t>
  </si>
  <si>
    <t>Branche</t>
  </si>
  <si>
    <t>n° série</t>
  </si>
  <si>
    <t>Branche_taille</t>
  </si>
  <si>
    <t>60"</t>
  </si>
  <si>
    <t>62"</t>
  </si>
  <si>
    <t>64"</t>
  </si>
  <si>
    <t>66"</t>
  </si>
  <si>
    <t>68"</t>
  </si>
  <si>
    <t>70"</t>
  </si>
  <si>
    <t xml:space="preserve">Type d'arc : </t>
  </si>
  <si>
    <t>noir</t>
  </si>
  <si>
    <t>Noir</t>
  </si>
  <si>
    <t>Corde</t>
  </si>
  <si>
    <t>Corde_Type</t>
  </si>
  <si>
    <t>Standard</t>
  </si>
  <si>
    <t>Flamande</t>
  </si>
  <si>
    <t>Tressée</t>
  </si>
  <si>
    <t>Nb brins</t>
  </si>
  <si>
    <t>Corde_Nb_Brins</t>
  </si>
  <si>
    <t>Corde_Matériau</t>
  </si>
  <si>
    <t>58"</t>
  </si>
  <si>
    <t>72"</t>
  </si>
  <si>
    <t>Nock set</t>
  </si>
  <si>
    <t>Boucles</t>
  </si>
  <si>
    <t>Cuivre</t>
  </si>
  <si>
    <t>BCY-X</t>
  </si>
  <si>
    <t>Système accroche</t>
  </si>
  <si>
    <t>Formula</t>
  </si>
  <si>
    <t>Tranche Fil</t>
  </si>
  <si>
    <t>0.016"</t>
  </si>
  <si>
    <t>0.022"</t>
  </si>
  <si>
    <t>0.021"</t>
  </si>
  <si>
    <t>0,026"</t>
  </si>
  <si>
    <t>0.018"</t>
  </si>
  <si>
    <t>0.017"</t>
  </si>
  <si>
    <t>0,025"</t>
  </si>
  <si>
    <t>0,024"</t>
  </si>
  <si>
    <t>0.019"</t>
  </si>
  <si>
    <t>0.014"</t>
  </si>
  <si>
    <t>0.020"</t>
  </si>
  <si>
    <t>Brownell Diamondback</t>
  </si>
  <si>
    <t>BCY Halo</t>
  </si>
  <si>
    <t>BCY 62 XS</t>
  </si>
  <si>
    <t>BCY 3D</t>
  </si>
  <si>
    <t>BCY 2S</t>
  </si>
  <si>
    <t>FIX end loop transparent</t>
  </si>
  <si>
    <t>Angel Majesty</t>
  </si>
  <si>
    <t xml:space="preserve">Brownell nylon 4 </t>
  </si>
  <si>
    <t>BCY nylon n°350</t>
  </si>
  <si>
    <t>BCY Powergrip</t>
  </si>
  <si>
    <t>Brownell RCT</t>
  </si>
  <si>
    <t>Brownell Bullwhip</t>
  </si>
  <si>
    <t>Brownell 1D</t>
  </si>
  <si>
    <t>Brownell Crowne</t>
  </si>
  <si>
    <t xml:space="preserve">Brownell cable </t>
  </si>
  <si>
    <t>Angel Dyneema</t>
  </si>
  <si>
    <t>Dyneema D75</t>
  </si>
  <si>
    <t xml:space="preserve">BROWNELL XS2 </t>
  </si>
  <si>
    <t>BCY 8125</t>
  </si>
  <si>
    <t xml:space="preserve">BCY 452X </t>
  </si>
  <si>
    <t>BROWNELL XCEL</t>
  </si>
  <si>
    <t>BCY 8125G</t>
  </si>
  <si>
    <t>Brownell dacron B50</t>
  </si>
  <si>
    <t>Brownell Astroflight</t>
  </si>
  <si>
    <t>Brownell Fast Flight +</t>
  </si>
  <si>
    <t>BCY B55</t>
  </si>
  <si>
    <t>BCY 8190</t>
  </si>
  <si>
    <t>Uukha X100</t>
  </si>
  <si>
    <t>Nombre</t>
  </si>
  <si>
    <t>Band</t>
  </si>
  <si>
    <t>Poids 
(Kg)</t>
  </si>
  <si>
    <t>Corde taille standard</t>
  </si>
  <si>
    <t>Archer</t>
  </si>
  <si>
    <t>Haut Rndmt</t>
  </si>
  <si>
    <t>Type arc</t>
  </si>
  <si>
    <t>Vintage</t>
  </si>
  <si>
    <t>Flèche</t>
  </si>
  <si>
    <t>Insert</t>
  </si>
  <si>
    <t>Masse de pointe (grains)</t>
  </si>
  <si>
    <t>Spine Dynamique</t>
  </si>
  <si>
    <t>Plumes nat.</t>
  </si>
  <si>
    <t>Vanes</t>
  </si>
  <si>
    <t>shaft diam</t>
  </si>
  <si>
    <t>correction</t>
  </si>
  <si>
    <t>B50</t>
  </si>
  <si>
    <t>FF</t>
  </si>
  <si>
    <t>FF optimisée</t>
  </si>
  <si>
    <t>Fût bois</t>
  </si>
  <si>
    <t>Std Alu</t>
  </si>
  <si>
    <t>Laiton 50 gr</t>
  </si>
  <si>
    <t>grain</t>
  </si>
  <si>
    <t>gramme</t>
  </si>
  <si>
    <t>Laiton 75 gr</t>
  </si>
  <si>
    <t>Laiton 100 gr</t>
  </si>
  <si>
    <t>Laiton 150 gr</t>
  </si>
  <si>
    <t>MFX/FMJ alu</t>
  </si>
  <si>
    <t>MFX/FMJ 75 gr</t>
  </si>
  <si>
    <t>MFX/FMJ 100 gr</t>
  </si>
  <si>
    <t>Marque</t>
  </si>
  <si>
    <t>Masse @ 29"</t>
  </si>
  <si>
    <t>Diam. Du fût</t>
  </si>
  <si>
    <t>GPI</t>
  </si>
  <si>
    <t>Autre</t>
  </si>
  <si>
    <t>Easton</t>
  </si>
  <si>
    <t>Carbon 300</t>
  </si>
  <si>
    <t>Carbon 340</t>
  </si>
  <si>
    <t>Carbon 400</t>
  </si>
  <si>
    <t>Carbon 500</t>
  </si>
  <si>
    <t>Goldtip</t>
  </si>
  <si>
    <t>GT 1535 Trad.</t>
  </si>
  <si>
    <t>GT 3555 Trad.</t>
  </si>
  <si>
    <t>GT 5575 Trad.</t>
  </si>
  <si>
    <t>GT 7595 Trad.</t>
  </si>
  <si>
    <t>Heritage 75</t>
  </si>
  <si>
    <t>Carbon Express</t>
  </si>
  <si>
    <t>Heritage 90</t>
  </si>
  <si>
    <t>Heritage 150</t>
  </si>
  <si>
    <t>Heritage 250</t>
  </si>
  <si>
    <t>Heritage 350</t>
  </si>
  <si>
    <t>MFX CL 340</t>
  </si>
  <si>
    <t>MFX CL 400</t>
  </si>
  <si>
    <t>MFX CL 500</t>
  </si>
  <si>
    <t>9/32</t>
  </si>
  <si>
    <t>MFX RT 300</t>
  </si>
  <si>
    <t>MFX RT 340</t>
  </si>
  <si>
    <t>MFX RT 400</t>
  </si>
  <si>
    <t>MFX RT 500</t>
  </si>
  <si>
    <t>FMJ DG 250</t>
  </si>
  <si>
    <t>FMJ DG 300</t>
  </si>
  <si>
    <t>FMJ GM 300</t>
  </si>
  <si>
    <t>FMJ GM 340</t>
  </si>
  <si>
    <t>FMJ GM 400</t>
  </si>
  <si>
    <t>FMJ GM 500</t>
  </si>
  <si>
    <t>FMJ LC 340</t>
  </si>
  <si>
    <t>FMJ LC 400</t>
  </si>
  <si>
    <t>axis RT 300</t>
  </si>
  <si>
    <t>axis RT 340</t>
  </si>
  <si>
    <t>axis RT 400</t>
  </si>
  <si>
    <t>axis RT 500</t>
  </si>
  <si>
    <t>Rbl Hntr 4560</t>
  </si>
  <si>
    <t>Rbl Hntr 6075</t>
  </si>
  <si>
    <t>Rbl Hntr 7590</t>
  </si>
  <si>
    <t>Victory</t>
  </si>
  <si>
    <t>Byron Ferguson</t>
  </si>
  <si>
    <t>Heavy Hunter 320</t>
  </si>
  <si>
    <t>Heavy Hunter 400</t>
  </si>
  <si>
    <t>Heavy Hunter 500</t>
  </si>
  <si>
    <t>Maxima 3D 250</t>
  </si>
  <si>
    <t>Maxima 3D 350</t>
  </si>
  <si>
    <t>Maxima Hunter 150</t>
  </si>
  <si>
    <t>Maxima Hunter 250</t>
  </si>
  <si>
    <t>Maxima Hunter 450</t>
  </si>
  <si>
    <t>Traditionnal 340</t>
  </si>
  <si>
    <t>Traditionnal 400</t>
  </si>
  <si>
    <t>Traditionnal 500</t>
  </si>
  <si>
    <t>Traditionnal 600</t>
  </si>
  <si>
    <t>Zebra 300</t>
  </si>
  <si>
    <t>Zebra 400</t>
  </si>
  <si>
    <t>Zebra 500</t>
  </si>
  <si>
    <t>Masse totale (grains)</t>
  </si>
  <si>
    <t>F.O.C.
(%)</t>
  </si>
  <si>
    <t>Energie
(ft-lbs)</t>
  </si>
  <si>
    <t>Spine dynamique attendu (#)</t>
  </si>
  <si>
    <t>0,016"</t>
  </si>
  <si>
    <t>0,015"</t>
  </si>
  <si>
    <t>0,018"</t>
  </si>
  <si>
    <t>0,014"</t>
  </si>
  <si>
    <t>0,011"</t>
  </si>
  <si>
    <t>Nock</t>
  </si>
  <si>
    <t>Nock_TF</t>
  </si>
  <si>
    <t>BCY Nock point</t>
  </si>
  <si>
    <t>Noir/Jaune</t>
  </si>
  <si>
    <t>Nom de l'archer</t>
  </si>
  <si>
    <t>7,25 / 18,5</t>
  </si>
  <si>
    <t>7,5 / 19</t>
  </si>
  <si>
    <t>8,25 / 21</t>
  </si>
  <si>
    <t>8,5 / 21,5</t>
  </si>
  <si>
    <t>9,25 / 23,5</t>
  </si>
  <si>
    <t>10 / 25,5</t>
  </si>
  <si>
    <r>
      <rPr>
        <b/>
        <sz val="11"/>
        <color theme="1"/>
        <rFont val="Calibri"/>
        <family val="2"/>
      </rPr>
      <t xml:space="preserve">Ø </t>
    </r>
    <r>
      <rPr>
        <b/>
        <sz val="11"/>
        <color theme="1"/>
        <rFont val="Calibri"/>
        <family val="2"/>
        <scheme val="minor"/>
      </rPr>
      <t>corde</t>
    </r>
  </si>
  <si>
    <r>
      <rPr>
        <b/>
        <sz val="11"/>
        <color theme="1"/>
        <rFont val="Calibri"/>
        <family val="2"/>
      </rPr>
      <t>Ø</t>
    </r>
    <r>
      <rPr>
        <b/>
        <sz val="11"/>
        <color theme="1"/>
        <rFont val="Calibri"/>
        <family val="2"/>
        <scheme val="minor"/>
      </rPr>
      <t>Tranche Fil</t>
    </r>
  </si>
  <si>
    <t>en cm</t>
  </si>
  <si>
    <t>réduction corde</t>
  </si>
  <si>
    <t>Syst. accroche</t>
  </si>
  <si>
    <t>Band optimum
(en pouce / cm)</t>
  </si>
  <si>
    <t>Taille
(en pouce)</t>
  </si>
  <si>
    <t>Poids 
(g)</t>
  </si>
  <si>
    <t>Taille
(en cm)</t>
  </si>
  <si>
    <r>
      <rPr>
        <sz val="10"/>
        <color theme="1"/>
        <rFont val="Calibri"/>
        <family val="2"/>
      </rPr>
      <t xml:space="preserve">Ø </t>
    </r>
    <r>
      <rPr>
        <sz val="10"/>
        <color theme="1"/>
        <rFont val="Calibri"/>
        <family val="2"/>
        <scheme val="minor"/>
      </rPr>
      <t>Tranchefil</t>
    </r>
  </si>
  <si>
    <t>Taille TF
(en cm)</t>
  </si>
  <si>
    <t>Boucle B / H 
(en cm)</t>
  </si>
  <si>
    <r>
      <t xml:space="preserve">Taille </t>
    </r>
    <r>
      <rPr>
        <sz val="10"/>
        <color theme="1"/>
        <rFont val="Symbol"/>
        <family val="1"/>
        <charset val="2"/>
      </rPr>
      <t>­</t>
    </r>
    <r>
      <rPr>
        <sz val="10"/>
        <color theme="1"/>
        <rFont val="Calibri"/>
        <family val="2"/>
        <scheme val="minor"/>
      </rPr>
      <t xml:space="preserve"> Nock
(en cm)</t>
    </r>
  </si>
  <si>
    <r>
      <t xml:space="preserve">Taille </t>
    </r>
    <r>
      <rPr>
        <sz val="10"/>
        <color theme="1"/>
        <rFont val="Symbol"/>
        <family val="1"/>
        <charset val="2"/>
      </rPr>
      <t>¯</t>
    </r>
    <r>
      <rPr>
        <sz val="10"/>
        <color theme="1"/>
        <rFont val="Calibri"/>
        <family val="2"/>
        <scheme val="minor"/>
      </rPr>
      <t xml:space="preserve"> Nock
(en cm)</t>
    </r>
  </si>
  <si>
    <t>Ø brin</t>
  </si>
  <si>
    <t>Vitesse 
(FPS)</t>
  </si>
  <si>
    <t>Win &amp; Win RCX 17 Black</t>
  </si>
  <si>
    <t>1,5  /  2,5</t>
  </si>
  <si>
    <t>Ecart de 1£ au maximum entre les deux chiffres</t>
  </si>
  <si>
    <t>Longueur du fût (en pouce)</t>
  </si>
  <si>
    <t>Lest côté encoche</t>
  </si>
  <si>
    <t>Lest coté pointe 
(grains)</t>
  </si>
  <si>
    <t>Band constructeur
(Min - Max)</t>
  </si>
  <si>
    <t>7 - 7,5"</t>
  </si>
  <si>
    <t>FJH233</t>
  </si>
  <si>
    <t>HF JR 7 7R0047</t>
  </si>
  <si>
    <t>Code barre</t>
  </si>
  <si>
    <t>Spine dynamique (#)</t>
  </si>
  <si>
    <t>6,5 / 16,5</t>
  </si>
  <si>
    <t>6,75 / 17</t>
  </si>
  <si>
    <t>7 / 17,75</t>
  </si>
  <si>
    <t>6,75 / 17,25</t>
  </si>
  <si>
    <t>7,75 / 19,75</t>
  </si>
  <si>
    <t>8 / 20,25</t>
  </si>
  <si>
    <t>8,75 / 22,25</t>
  </si>
  <si>
    <t>9 / 22,75</t>
  </si>
  <si>
    <t>9,5 / 24,25</t>
  </si>
  <si>
    <t>9,75 / 24,75</t>
  </si>
  <si>
    <t>10,25 / 26</t>
  </si>
  <si>
    <t>Ressorts Berger</t>
  </si>
  <si>
    <t>Souple (Noir)</t>
  </si>
  <si>
    <t>Moyen (Blanc)</t>
  </si>
  <si>
    <t>Dur (Rouge)</t>
  </si>
  <si>
    <t>Pas de berger</t>
  </si>
  <si>
    <t>Surement un Archer du phénix</t>
  </si>
  <si>
    <t>Réglages</t>
  </si>
  <si>
    <t>Berger Bouton</t>
  </si>
  <si>
    <t>Ecartement BB
(en mm)</t>
  </si>
  <si>
    <t>Pression BB
(en nb tours)</t>
  </si>
  <si>
    <t>Tiller</t>
  </si>
  <si>
    <t>Mesure haute 
(en cm ou mm)</t>
  </si>
  <si>
    <t>Mesure basse 
(en cm ou mm)</t>
  </si>
  <si>
    <t>A vis</t>
  </si>
  <si>
    <t>Formula / adapt ILF</t>
  </si>
  <si>
    <t>Type branches</t>
  </si>
  <si>
    <t>Non démontable</t>
  </si>
  <si>
    <t>Basé sur le Spine Calculator de LeTub</t>
  </si>
  <si>
    <r>
      <t xml:space="preserve">A l'allonge de </t>
    </r>
    <r>
      <rPr>
        <sz val="12"/>
        <color rgb="FFFF0000"/>
        <rFont val="Calibri"/>
        <family val="2"/>
        <scheme val="minor"/>
      </rPr>
      <t>*</t>
    </r>
    <r>
      <rPr>
        <sz val="10"/>
        <color theme="1"/>
        <rFont val="Calibri"/>
        <family val="2"/>
        <scheme val="minor"/>
      </rPr>
      <t xml:space="preserve">
(en pouce)</t>
    </r>
  </si>
  <si>
    <r>
      <t xml:space="preserve">Puissance </t>
    </r>
    <r>
      <rPr>
        <sz val="12"/>
        <color rgb="FFFF0000"/>
        <rFont val="Calibri"/>
        <family val="2"/>
        <scheme val="minor"/>
      </rPr>
      <t>*</t>
    </r>
    <r>
      <rPr>
        <sz val="10"/>
        <color theme="1"/>
        <rFont val="Calibri"/>
        <family val="2"/>
        <scheme val="minor"/>
      </rPr>
      <t xml:space="preserve">
(en £)</t>
    </r>
  </si>
  <si>
    <r>
      <t xml:space="preserve">Taille </t>
    </r>
    <r>
      <rPr>
        <sz val="12"/>
        <color rgb="FFFF0000"/>
        <rFont val="Calibri"/>
        <family val="2"/>
        <scheme val="minor"/>
      </rPr>
      <t>*</t>
    </r>
    <r>
      <rPr>
        <sz val="10"/>
        <color theme="1"/>
        <rFont val="Calibri"/>
        <family val="2"/>
        <scheme val="minor"/>
      </rPr>
      <t xml:space="preserve">
(en pouce)</t>
    </r>
  </si>
  <si>
    <r>
      <t xml:space="preserve">Center cut </t>
    </r>
    <r>
      <rPr>
        <sz val="12"/>
        <color rgb="FFFF0000"/>
        <rFont val="Calibri"/>
        <family val="2"/>
        <scheme val="minor"/>
      </rPr>
      <t>*</t>
    </r>
    <r>
      <rPr>
        <sz val="10"/>
        <color theme="1"/>
        <rFont val="Calibri"/>
        <family val="2"/>
        <scheme val="minor"/>
      </rPr>
      <t xml:space="preserve">
(en mm)</t>
    </r>
  </si>
  <si>
    <r>
      <t xml:space="preserve">Rendement </t>
    </r>
    <r>
      <rPr>
        <sz val="12"/>
        <color rgb="FFFF0000"/>
        <rFont val="Calibri"/>
        <family val="2"/>
        <scheme val="minor"/>
      </rPr>
      <t>*</t>
    </r>
  </si>
  <si>
    <t>Ma Taille
(en cm)</t>
  </si>
  <si>
    <r>
      <t xml:space="preserve">Mon Allonge </t>
    </r>
    <r>
      <rPr>
        <sz val="12"/>
        <color rgb="FFFF0000"/>
        <rFont val="Calibri"/>
        <family val="2"/>
      </rPr>
      <t>*</t>
    </r>
    <r>
      <rPr>
        <sz val="10"/>
        <color theme="1"/>
        <rFont val="Calibri"/>
        <family val="2"/>
      </rPr>
      <t xml:space="preserve">
(en pouce)</t>
    </r>
  </si>
  <si>
    <r>
      <rPr>
        <sz val="10"/>
        <color theme="0" tint="-0.34998626667073579"/>
        <rFont val="Calibri"/>
        <family val="2"/>
        <scheme val="minor"/>
      </rPr>
      <t>Les champs calculés (fonds jaunes) demandent de remplir les champs dont l'intitulé possède une</t>
    </r>
    <r>
      <rPr>
        <sz val="10"/>
        <color theme="1"/>
        <rFont val="Calibri"/>
        <family val="2"/>
        <scheme val="minor"/>
      </rPr>
      <t xml:space="preserve"> </t>
    </r>
    <r>
      <rPr>
        <sz val="12"/>
        <color rgb="FFFF0000"/>
        <rFont val="Calibri"/>
        <family val="2"/>
        <scheme val="minor"/>
      </rPr>
      <t>*</t>
    </r>
  </si>
  <si>
    <t>Fiche matériel de l'archer</t>
  </si>
  <si>
    <t>Repose Flèche / Tapis d'arc</t>
  </si>
  <si>
    <t>Repose_flèche</t>
  </si>
  <si>
    <t>Tapis d'arc</t>
  </si>
  <si>
    <t>Rest</t>
  </si>
  <si>
    <t>Biscuit</t>
  </si>
  <si>
    <t>Magnétique</t>
  </si>
  <si>
    <t>Pace setter</t>
  </si>
  <si>
    <t>Adhésif de base</t>
  </si>
  <si>
    <t>Profondeur
(en mm)</t>
  </si>
  <si>
    <t>Dureté
Ressort</t>
  </si>
  <si>
    <t>Tiller calculé
(en cm)</t>
  </si>
  <si>
    <t>Stab</t>
  </si>
  <si>
    <t>Pas de stab</t>
  </si>
  <si>
    <t>Centrale</t>
  </si>
  <si>
    <t>centrale-Vbar</t>
  </si>
  <si>
    <t>Déportée</t>
  </si>
  <si>
    <t>Epaisseur / Latéral
(en mm)</t>
  </si>
  <si>
    <t>Hauteur / Vertical
(en mm)</t>
  </si>
  <si>
    <t>TF central</t>
  </si>
  <si>
    <t>Visette</t>
  </si>
  <si>
    <t>Distance
(en cm)</t>
  </si>
  <si>
    <t>Pas de visette</t>
  </si>
  <si>
    <t>Nock de référence</t>
  </si>
  <si>
    <t>Bas</t>
  </si>
  <si>
    <t>Haut</t>
  </si>
  <si>
    <t>Détalonnage 
(en cm)</t>
  </si>
  <si>
    <t>Longueur central (cm)</t>
  </si>
  <si>
    <t>Longueur V-bars (en cm)</t>
  </si>
  <si>
    <t>Masse central (en g)</t>
  </si>
  <si>
    <t>Masses V-bars (en g)</t>
  </si>
  <si>
    <t>Puissance  calculée 
(en £)</t>
  </si>
  <si>
    <r>
      <t xml:space="preserve">Pesée de l'arc </t>
    </r>
    <r>
      <rPr>
        <sz val="12"/>
        <color rgb="FFFF0000"/>
        <rFont val="Calibri"/>
        <family val="2"/>
        <scheme val="minor"/>
      </rPr>
      <t>*</t>
    </r>
    <r>
      <rPr>
        <sz val="10"/>
        <color theme="1"/>
        <rFont val="Calibri"/>
        <family val="2"/>
        <scheme val="minor"/>
      </rPr>
      <t xml:space="preserve">
(en livres)</t>
    </r>
  </si>
  <si>
    <t>Escamotable</t>
  </si>
  <si>
    <t>Déflection
(in.)</t>
  </si>
  <si>
    <t>5/16</t>
  </si>
  <si>
    <t>11/32</t>
  </si>
  <si>
    <t>23/64</t>
  </si>
  <si>
    <t>Diamètre_Fut</t>
  </si>
  <si>
    <t>Diamètre_fut_cm</t>
  </si>
  <si>
    <t>Flèches_Autre</t>
  </si>
  <si>
    <t>Tube</t>
  </si>
  <si>
    <t>Fût</t>
  </si>
  <si>
    <t>Vertical</t>
  </si>
  <si>
    <t>Latéral</t>
  </si>
  <si>
    <t>Réglage Viseur</t>
  </si>
  <si>
    <t>5 m</t>
  </si>
  <si>
    <t>10 m</t>
  </si>
  <si>
    <t>15 m</t>
  </si>
  <si>
    <t>20 m</t>
  </si>
  <si>
    <t>25 m</t>
  </si>
  <si>
    <t>30 m</t>
  </si>
  <si>
    <t>35 m</t>
  </si>
  <si>
    <t>40 m</t>
  </si>
  <si>
    <t>45 m</t>
  </si>
  <si>
    <t>50 m</t>
  </si>
  <si>
    <t>55 m</t>
  </si>
  <si>
    <t>60 m</t>
  </si>
  <si>
    <t>65 m</t>
  </si>
  <si>
    <t>70 m</t>
  </si>
  <si>
    <t>G nock</t>
  </si>
  <si>
    <t>7/32</t>
  </si>
  <si>
    <t>RPS insert</t>
  </si>
  <si>
    <t>RPS size</t>
  </si>
  <si>
    <t>1/4</t>
  </si>
  <si>
    <t>17/64</t>
  </si>
  <si>
    <t>Diamètre</t>
  </si>
  <si>
    <t>Levi 300</t>
  </si>
  <si>
    <t>Levi 340</t>
  </si>
  <si>
    <t>Levi 400</t>
  </si>
  <si>
    <t>Samantha 400</t>
  </si>
  <si>
    <t>Samantha 500</t>
  </si>
  <si>
    <t>Twister 300</t>
  </si>
  <si>
    <t>Twister 400</t>
  </si>
  <si>
    <t>Twister 500</t>
  </si>
  <si>
    <t>Team Primo 300</t>
  </si>
  <si>
    <t>Team Primo 400</t>
  </si>
  <si>
    <t>Team Primo 500</t>
  </si>
  <si>
    <t>Taille en pouce</t>
  </si>
  <si>
    <t>30X 200</t>
  </si>
  <si>
    <t>Triple X 150</t>
  </si>
  <si>
    <t>Hunter 300 XT Lost/Xtra</t>
  </si>
  <si>
    <t>Hunter 300 XT/Pro</t>
  </si>
  <si>
    <t xml:space="preserve">Hunter 340 </t>
  </si>
  <si>
    <t>Hunter 400 XT/Pro</t>
  </si>
  <si>
    <t>Hunter 400 XT Lost/Xtra</t>
  </si>
  <si>
    <t>Hunter 500 XT/Pro</t>
  </si>
  <si>
    <t>Hunter 500 XT Lost/Xtra</t>
  </si>
  <si>
    <t>Velocity 300</t>
  </si>
  <si>
    <t>Velocity 340</t>
  </si>
  <si>
    <t>Velocity 400</t>
  </si>
  <si>
    <t>Velocity 500</t>
  </si>
  <si>
    <t>Velocity 600</t>
  </si>
  <si>
    <t>Kinetic 200</t>
  </si>
  <si>
    <t>Kinetic 300</t>
  </si>
  <si>
    <t>Kinetic 340</t>
  </si>
  <si>
    <t>Kinetic 400</t>
  </si>
  <si>
    <t>Kinetic 500</t>
  </si>
  <si>
    <t>Youth Fiberglass</t>
  </si>
  <si>
    <t>Falcon</t>
  </si>
  <si>
    <t>X-Cutter 250</t>
  </si>
  <si>
    <t>Series 22 300</t>
  </si>
  <si>
    <t>Ultralight 300</t>
  </si>
  <si>
    <t>Ultralight 400</t>
  </si>
  <si>
    <t>Ultralight 500</t>
  </si>
  <si>
    <t>Ultralight 600</t>
  </si>
  <si>
    <t>Ultralight 700</t>
  </si>
  <si>
    <t>ICS Hunter Lost camo 340</t>
  </si>
  <si>
    <t>ICS Hunter Lost camo 300</t>
  </si>
  <si>
    <t>ICS Hunter Lost camo 400</t>
  </si>
  <si>
    <t>ICS Hunter Lost camo 500</t>
  </si>
  <si>
    <t>http://aurel-archery.de/en/</t>
  </si>
  <si>
    <t>Aurel</t>
  </si>
  <si>
    <t>Agnis 1416</t>
  </si>
  <si>
    <t>Agnis 1516</t>
  </si>
  <si>
    <t>Agnis 1616</t>
  </si>
  <si>
    <t>Agnis 1716</t>
  </si>
  <si>
    <t>Agnis 1816</t>
  </si>
  <si>
    <t>Agnis 1916</t>
  </si>
  <si>
    <t>Agnis 2016</t>
  </si>
  <si>
    <t>Agnis 2116</t>
  </si>
  <si>
    <t>Agnis 2216</t>
  </si>
  <si>
    <t>Mantis 750</t>
  </si>
  <si>
    <t>Trios X</t>
  </si>
  <si>
    <t>Agil 300</t>
  </si>
  <si>
    <t>Agil 400</t>
  </si>
  <si>
    <t>Agil 600</t>
  </si>
  <si>
    <t>Agil 700</t>
  </si>
  <si>
    <t>Mako 400</t>
  </si>
  <si>
    <t>Mako 600</t>
  </si>
  <si>
    <t>Mako 700</t>
  </si>
  <si>
    <t>Mako 350</t>
  </si>
  <si>
    <t>Agil 500</t>
  </si>
  <si>
    <t>Mako 500</t>
  </si>
  <si>
    <t>Mako 800</t>
  </si>
  <si>
    <t>Mako 900</t>
  </si>
  <si>
    <t>Mako 1000</t>
  </si>
  <si>
    <t>Mako 1100</t>
  </si>
  <si>
    <t>Mako 1300</t>
  </si>
  <si>
    <t>Orix 350</t>
  </si>
  <si>
    <t>Orix 400</t>
  </si>
  <si>
    <t>Orix 500</t>
  </si>
  <si>
    <t>Orix 600</t>
  </si>
  <si>
    <t>Orix 700</t>
  </si>
  <si>
    <t>Orix 800</t>
  </si>
  <si>
    <t>Orix 900</t>
  </si>
  <si>
    <t>Orix 1000</t>
  </si>
  <si>
    <t>Orix 1100</t>
  </si>
  <si>
    <t>Orix 1300</t>
  </si>
  <si>
    <t>Uhire 400</t>
  </si>
  <si>
    <t>Uhire 500</t>
  </si>
  <si>
    <t>Uhire 600</t>
  </si>
  <si>
    <t>Uhire 700</t>
  </si>
  <si>
    <t>Uhire 800</t>
  </si>
  <si>
    <t>Uhire 450</t>
  </si>
  <si>
    <t>Uhire 550</t>
  </si>
  <si>
    <t>Uhire 650</t>
  </si>
  <si>
    <t>Uhire 750</t>
  </si>
  <si>
    <t>Marque :</t>
  </si>
  <si>
    <t>Site :</t>
  </si>
  <si>
    <t>Flèches</t>
  </si>
  <si>
    <t>Outside Diameter</t>
  </si>
  <si>
    <t>Inside Diameter</t>
  </si>
  <si>
    <t>Victory Pink Arrow Proj. 30/50</t>
  </si>
  <si>
    <t>Victory V-Force Elite 300</t>
  </si>
  <si>
    <t>Victory V-Force Elite 350</t>
  </si>
  <si>
    <t>Victory V-Force Elite 400</t>
  </si>
  <si>
    <t>Victory V-Force Elite 500</t>
  </si>
  <si>
    <t>Victory V-Force Elite 600</t>
  </si>
  <si>
    <t>Victory V-Force Gamer 300</t>
  </si>
  <si>
    <t>Victory V-Force Gamer 350</t>
  </si>
  <si>
    <t>Victory V-Force Gamer 400</t>
  </si>
  <si>
    <t>Victory V-Force Gamer 500</t>
  </si>
  <si>
    <t>Victory V-Force Gamer 600</t>
  </si>
  <si>
    <t>Victory V-Force Sport 300</t>
  </si>
  <si>
    <t>Victory V-Force Sport 350</t>
  </si>
  <si>
    <t>Victory V-Force Sport 400</t>
  </si>
  <si>
    <t>Victory V-Force Sport 500</t>
  </si>
  <si>
    <t>Victory V-Force Sport 600</t>
  </si>
  <si>
    <t>Victory V-Force V1 HV 350</t>
  </si>
  <si>
    <t>Victory V-Force V1 HV 400</t>
  </si>
  <si>
    <t>Victory V-Force V3 HV 350</t>
  </si>
  <si>
    <t>Victory V-Force V3 HV 400</t>
  </si>
  <si>
    <t>Victory V-Force V6 HV 350</t>
  </si>
  <si>
    <t>Victory V-Force V6 HV 400</t>
  </si>
  <si>
    <t>Victory VAP V1 350</t>
  </si>
  <si>
    <t>Victory VAP V1 400</t>
  </si>
  <si>
    <t>Victory VAP V1 500</t>
  </si>
  <si>
    <t>Victory VAP V1 600</t>
  </si>
  <si>
    <t>Victory VAP V3 350</t>
  </si>
  <si>
    <t>Victory VAP V3 400</t>
  </si>
  <si>
    <t>Victory VAP V3 500</t>
  </si>
  <si>
    <t>Victory VAP V3 600</t>
  </si>
  <si>
    <t>Victory VAP V6 350</t>
  </si>
  <si>
    <t>Victory VAP V6 400</t>
  </si>
  <si>
    <t>Victory VAP V6 500</t>
  </si>
  <si>
    <t>Victory VAP V6 600</t>
  </si>
  <si>
    <r>
      <t xml:space="preserve">Type tube </t>
    </r>
    <r>
      <rPr>
        <sz val="12"/>
        <color rgb="FFFF0000"/>
        <rFont val="Calibri"/>
        <family val="2"/>
        <scheme val="minor"/>
      </rPr>
      <t>*</t>
    </r>
    <r>
      <rPr>
        <sz val="12"/>
        <rFont val="Calibri"/>
        <family val="2"/>
        <scheme val="minor"/>
      </rPr>
      <t xml:space="preserve"> : </t>
    </r>
  </si>
  <si>
    <t>CX Maxima Blue Streak 350</t>
  </si>
  <si>
    <t>CX Maxima Blue Streak 250</t>
  </si>
  <si>
    <t>CX Maxima Blue Streak 150</t>
  </si>
  <si>
    <t>CX Maxima Hunter 450</t>
  </si>
  <si>
    <t>CX Maxima Hunter 350</t>
  </si>
  <si>
    <t>CX Maxima Hunter 250</t>
  </si>
  <si>
    <t>CX Maxima Red 350</t>
  </si>
  <si>
    <t>CX Maxima Red 250</t>
  </si>
  <si>
    <t>CX Mayhem 350</t>
  </si>
  <si>
    <t>CX Mayhem 250</t>
  </si>
  <si>
    <t>CX Mayhem Hot Pursuit 150</t>
  </si>
  <si>
    <t>CX Mayhem Hunter 350</t>
  </si>
  <si>
    <t>CX Mayhem Hunter 250</t>
  </si>
  <si>
    <t>CX Mutiny 350</t>
  </si>
  <si>
    <t>CX Mutiny 250</t>
  </si>
  <si>
    <t>CX Mutiny Slasher 350</t>
  </si>
  <si>
    <t>CX Mutiny Slasher 250</t>
  </si>
  <si>
    <t>CX Piledriver Hunter 450</t>
  </si>
  <si>
    <t>CX Piledriver Hunter 350</t>
  </si>
  <si>
    <t>CX Piledriver Hunter 250</t>
  </si>
  <si>
    <t>CX Predator II 60/75</t>
  </si>
  <si>
    <t>CX Predator II 45/60</t>
  </si>
  <si>
    <t>CX Predator II 30/50</t>
  </si>
  <si>
    <t>CX Predator II 20/40</t>
  </si>
  <si>
    <t>Beman</t>
  </si>
  <si>
    <t>Centershot 340</t>
  </si>
  <si>
    <t>Centershot 400</t>
  </si>
  <si>
    <t>Centershot 500</t>
  </si>
  <si>
    <t>Centershot 600</t>
  </si>
  <si>
    <t>ICS Bowhunter 340</t>
  </si>
  <si>
    <t>ICS Bowhunter 400</t>
  </si>
  <si>
    <t>ICS Bowhunter 500</t>
  </si>
  <si>
    <t>ICS Hunter Patriot 300</t>
  </si>
  <si>
    <t>ICS Hunter Patriot 340</t>
  </si>
  <si>
    <t>ICS Hunter Patriot 400</t>
  </si>
  <si>
    <t>ICS Hunter Patriot 500</t>
  </si>
  <si>
    <t>ICS Hunter Pro 300</t>
  </si>
  <si>
    <t>ICS Hunter Pro 340</t>
  </si>
  <si>
    <t>ICS Hunter Pro 400</t>
  </si>
  <si>
    <t>ICS Hunter Pro 500</t>
  </si>
  <si>
    <t>Pork Chop 300</t>
  </si>
  <si>
    <t>Pork Chop 340</t>
  </si>
  <si>
    <t>Pork Chop 400</t>
  </si>
  <si>
    <t>Pork Chop 500</t>
  </si>
  <si>
    <t>Empennage</t>
  </si>
  <si>
    <r>
      <rPr>
        <sz val="10"/>
        <color theme="1"/>
        <rFont val="Calibri"/>
        <family val="2"/>
      </rPr>
      <t>Ø</t>
    </r>
    <r>
      <rPr>
        <sz val="10"/>
        <color theme="1"/>
        <rFont val="Calibri"/>
        <family val="2"/>
        <scheme val="minor"/>
      </rPr>
      <t xml:space="preserve"> extérieur
(en 64éme de ")</t>
    </r>
  </si>
  <si>
    <t>Masse 
(GPI)</t>
  </si>
  <si>
    <t>Si filtrer sur "AUTRE"</t>
  </si>
  <si>
    <t>A/C/C Pro 300</t>
  </si>
  <si>
    <t>A/C/C Pro 340</t>
  </si>
  <si>
    <t>A/C/C Pro 390</t>
  </si>
  <si>
    <t>A/C/C Pro 440</t>
  </si>
  <si>
    <t>Axis 300</t>
  </si>
  <si>
    <t>Axis 340</t>
  </si>
  <si>
    <t>Axis 400</t>
  </si>
  <si>
    <t>Axis 500</t>
  </si>
  <si>
    <t>Axis FMJ 300</t>
  </si>
  <si>
    <t>Axis FMJ 340</t>
  </si>
  <si>
    <t>Axis FMJ 400</t>
  </si>
  <si>
    <t>Axis FMJ 500</t>
  </si>
  <si>
    <t>Axis Realtree 300</t>
  </si>
  <si>
    <t>Axis Realtree 340</t>
  </si>
  <si>
    <t>Axis Realtree 400</t>
  </si>
  <si>
    <t>Axis Realtree 500</t>
  </si>
  <si>
    <t>Axis Traditional 340</t>
  </si>
  <si>
    <t>Axis Traditional 400</t>
  </si>
  <si>
    <t>Axis Traditional 500</t>
  </si>
  <si>
    <t>Axis Traditional 600</t>
  </si>
  <si>
    <t>Bloodline 330</t>
  </si>
  <si>
    <t>Bloodline 400</t>
  </si>
  <si>
    <t>Bloodline 480</t>
  </si>
  <si>
    <t>Bloodline Realtree 330</t>
  </si>
  <si>
    <t>Bloodline Realtree 400</t>
  </si>
  <si>
    <t>Bloodline Realtree 480</t>
  </si>
  <si>
    <t>Bowfire 330</t>
  </si>
  <si>
    <t>Bowfire 400</t>
  </si>
  <si>
    <t>Bowfire 480</t>
  </si>
  <si>
    <t>Carbon Aftermath 300</t>
  </si>
  <si>
    <t>Carbon Aftermath 340</t>
  </si>
  <si>
    <t>Carbon Aftermath 400</t>
  </si>
  <si>
    <t>Carbon Aftermath 500</t>
  </si>
  <si>
    <t>Carbon Epic 340</t>
  </si>
  <si>
    <t>Carbon Epic 400</t>
  </si>
  <si>
    <t>Carbon Epic 500</t>
  </si>
  <si>
    <t>Carbon Epic 600</t>
  </si>
  <si>
    <t>Carbon Injexion 330</t>
  </si>
  <si>
    <t>Carbon Injexion 400</t>
  </si>
  <si>
    <t>Carbon Injexion 480</t>
  </si>
  <si>
    <t>Dangerous Game 250</t>
  </si>
  <si>
    <t>Dangerous Game 300</t>
  </si>
  <si>
    <t>Da'Torch 330</t>
  </si>
  <si>
    <t>Da'Torch 400</t>
  </si>
  <si>
    <t>Da'Torch 480</t>
  </si>
  <si>
    <t>Flatline DOA 340</t>
  </si>
  <si>
    <t>Flatline DOA 400</t>
  </si>
  <si>
    <t>Flatline DOA 500</t>
  </si>
  <si>
    <t>Helios   NEW 340</t>
  </si>
  <si>
    <t>Helios   NEW 400</t>
  </si>
  <si>
    <t>Helios   NEW 500</t>
  </si>
  <si>
    <t>Helios Pro   NEW 340</t>
  </si>
  <si>
    <t>Helios Pro   NEW 400</t>
  </si>
  <si>
    <t>Helios Pro   NEW 500</t>
  </si>
  <si>
    <t>Hexx 330</t>
  </si>
  <si>
    <t>Hexx 400</t>
  </si>
  <si>
    <t>Hexx 480</t>
  </si>
  <si>
    <t>Nemesis 300</t>
  </si>
  <si>
    <t>Nemesis 340</t>
  </si>
  <si>
    <t>Nemesis 400</t>
  </si>
  <si>
    <t>Nemesis 500</t>
  </si>
  <si>
    <t>Full Bore 350</t>
  </si>
  <si>
    <t>Full Bore 270</t>
  </si>
  <si>
    <t>Fatboy 340</t>
  </si>
  <si>
    <t>Fatboy 400</t>
  </si>
  <si>
    <t>Fatboy 500</t>
  </si>
  <si>
    <t>11/32'</t>
  </si>
  <si>
    <t>3/8</t>
  </si>
  <si>
    <t>Superdrive 25</t>
  </si>
  <si>
    <t>Lightspeed 3D 340</t>
  </si>
  <si>
    <t>Lightspeed 3D 400</t>
  </si>
  <si>
    <t>Lightspeed 3D 500</t>
  </si>
  <si>
    <t>G-Nock</t>
  </si>
  <si>
    <t>Lightspeed 340</t>
  </si>
  <si>
    <t>Lightspeed 400</t>
  </si>
  <si>
    <t>Lightspeed 500</t>
  </si>
  <si>
    <t>5/16'</t>
  </si>
  <si>
    <t>HellCat 340</t>
  </si>
  <si>
    <t>HellCat 400</t>
  </si>
  <si>
    <t>HellCat 500</t>
  </si>
  <si>
    <t>HellFire 340</t>
  </si>
  <si>
    <t>HellFire 400</t>
  </si>
  <si>
    <t>HellFire 500</t>
  </si>
  <si>
    <t>Win &amp; Win</t>
  </si>
  <si>
    <t xml:space="preserve">Filtrer sur marque : </t>
  </si>
  <si>
    <t>Bearpaw</t>
  </si>
  <si>
    <t>Penthalon Slim Line Bamboo 400</t>
  </si>
  <si>
    <t>Penthalon Slim Line Bamboo 500</t>
  </si>
  <si>
    <t>Penthalon Slim Line Bamboo 600</t>
  </si>
  <si>
    <t>Penthalon Slim Line Bamboo 800</t>
  </si>
  <si>
    <t>Penthalon Slim Line Bamboo 1000</t>
  </si>
  <si>
    <t>Penthalon Slim Line Bamboo 1600</t>
  </si>
  <si>
    <t>Penthalon Slim Line Bamboo 1300</t>
  </si>
  <si>
    <t>Penthalon Slim Line Timber 400</t>
  </si>
  <si>
    <t>Penthalon Slim Line Timber 500</t>
  </si>
  <si>
    <t>Penthalon Slim Line Timber 600</t>
  </si>
  <si>
    <t>Penthalon Slim Line Timber 800</t>
  </si>
  <si>
    <t>Penthalon Slim Line Timber 1000</t>
  </si>
  <si>
    <t>Penthalon Slim Line Timber 1300</t>
  </si>
  <si>
    <t>Penthalon Slim Line Timber 1600</t>
  </si>
  <si>
    <t>Penthalon Slim Line Black 400</t>
  </si>
  <si>
    <t>Penthalon Slim Line Black 500</t>
  </si>
  <si>
    <t>Penthalon Slim Line Black 600</t>
  </si>
  <si>
    <t>Penthalon Slim Line Black 800</t>
  </si>
  <si>
    <t>Penthalon Slim Line Black 1000</t>
  </si>
  <si>
    <t>Penthalon Slim Line Black 1300</t>
  </si>
  <si>
    <t>Penthalon Slim Line Black 1600</t>
  </si>
  <si>
    <t>Penthalon Bamboo hunter 300</t>
  </si>
  <si>
    <t>Penthalon Bamboo hunter 400</t>
  </si>
  <si>
    <t>Penthalon Bamboo hunter 500</t>
  </si>
  <si>
    <t>Penthalon Bamboo hunter 600</t>
  </si>
  <si>
    <t>Penthalon Bamboo hunter 800</t>
  </si>
  <si>
    <t>Penthalon Safari hunter 300</t>
  </si>
  <si>
    <t>Penthalon Safari hunter 400</t>
  </si>
  <si>
    <t>Penthalon Safari hunter 500</t>
  </si>
  <si>
    <t>Penthalon Safari hunter 600</t>
  </si>
  <si>
    <t>Penthalon Safari hunter 800</t>
  </si>
  <si>
    <t>Penthalon Timber hunter 300</t>
  </si>
  <si>
    <t>Penthalon Timber hunter 400</t>
  </si>
  <si>
    <t>Penthalon Timber hunter 500</t>
  </si>
  <si>
    <t>Penthalon Timber hunter 600</t>
  </si>
  <si>
    <t>Penthalon Timber hunter 800</t>
  </si>
  <si>
    <t>Penthalon Blackwood hunter 300</t>
  </si>
  <si>
    <t>Penthalon Blackwood hunter 400</t>
  </si>
  <si>
    <t>Penthalon Blackwood hunter 500</t>
  </si>
  <si>
    <t>Penthalon Blackwood hunter 600</t>
  </si>
  <si>
    <t>Penthalon Blackwood hunter 800</t>
  </si>
  <si>
    <t>Penthalon Blackwood  300</t>
  </si>
  <si>
    <t>Penthalon Blackwood  400</t>
  </si>
  <si>
    <t>Penthalon Blackwood  500</t>
  </si>
  <si>
    <t>Penthalon Blackwood  600</t>
  </si>
  <si>
    <t>Penthalon Blackwood  800</t>
  </si>
  <si>
    <t>Penthalon Timber Stick XXL  300</t>
  </si>
  <si>
    <t>Penthalon Timber Stick XXL  400</t>
  </si>
  <si>
    <t>Penthalon Timber Stick XXL  500</t>
  </si>
  <si>
    <t>Penthalon Timber Stick XXL  600</t>
  </si>
  <si>
    <t>Nock_Cuivre</t>
  </si>
  <si>
    <t>Small bleu</t>
  </si>
  <si>
    <t>Medium noir</t>
  </si>
  <si>
    <t>Large rouge</t>
  </si>
  <si>
    <t>Beiter</t>
  </si>
  <si>
    <t>1 (0.88)</t>
  </si>
  <si>
    <t>2 (0.98)</t>
  </si>
  <si>
    <t>Tranche_Fil</t>
  </si>
  <si>
    <t>Matériau / taille</t>
  </si>
  <si>
    <t>https://shop.bearpaw-products.com/</t>
  </si>
  <si>
    <t>Strié (Las)</t>
  </si>
  <si>
    <t>Speed nock</t>
  </si>
  <si>
    <t>Speed_Loop</t>
  </si>
  <si>
    <t>Speed Loop</t>
  </si>
  <si>
    <t>Tru nock</t>
  </si>
  <si>
    <t>No Glow</t>
  </si>
  <si>
    <t>BCY 080 D-Loop</t>
  </si>
  <si>
    <t>Arrow-Dynamic</t>
  </si>
  <si>
    <t>.395 xlt</t>
  </si>
  <si>
    <t>.395 Orange</t>
  </si>
  <si>
    <t>.395 lite</t>
  </si>
  <si>
    <t>.395 green</t>
  </si>
  <si>
    <t>Stinger PTP orange</t>
  </si>
  <si>
    <t>Stinger PTP green</t>
  </si>
  <si>
    <t>Stinger PTP gold</t>
  </si>
  <si>
    <t>Stinger PTP big game</t>
  </si>
  <si>
    <t>Stinger PTP white</t>
  </si>
  <si>
    <t>Medalist 9.0mm</t>
  </si>
  <si>
    <t>Medalist 9.1mm</t>
  </si>
  <si>
    <t>Hammerhead Traditional lite</t>
  </si>
  <si>
    <t>Hammerhead Traditional heavy</t>
  </si>
  <si>
    <t>Hammerhead Traditional heavy-weight</t>
  </si>
  <si>
    <t>Traditional Series heavy</t>
  </si>
  <si>
    <t>Traditional Series lite</t>
  </si>
  <si>
    <t>Hi Plains Hunter big game</t>
  </si>
  <si>
    <t>Hi Plains Hunter gold</t>
  </si>
  <si>
    <t>Hi Plains Hunter green</t>
  </si>
  <si>
    <t>Hi Plains Hunter orange</t>
  </si>
  <si>
    <t>Hi Plains Hunter yellow</t>
  </si>
  <si>
    <t>Hi Plains Hunter white</t>
  </si>
  <si>
    <t>Stinger PTP yellow</t>
  </si>
  <si>
    <t>Nitro Stinger xlt</t>
  </si>
  <si>
    <t>Nitro Stinger lite</t>
  </si>
  <si>
    <t>Nitro Stinger orange</t>
  </si>
  <si>
    <t>Nitro Stinger green</t>
  </si>
  <si>
    <t>Nitro Stinger gold</t>
  </si>
  <si>
    <t>Nitro Stinger big game</t>
  </si>
  <si>
    <t>Arrow_Dynamic</t>
  </si>
  <si>
    <t>Carbon_Express</t>
  </si>
  <si>
    <t>Byron_Ferguson</t>
  </si>
  <si>
    <t>Win_and_Win</t>
  </si>
  <si>
    <t>OD en mm</t>
  </si>
  <si>
    <t>mm</t>
  </si>
  <si>
    <t>pouce</t>
  </si>
  <si>
    <t>Plume et empenage</t>
  </si>
  <si>
    <t>Center cut</t>
  </si>
  <si>
    <t>Shaft correction // diamètre</t>
  </si>
  <si>
    <t>Tx optimisation corde</t>
  </si>
  <si>
    <t>Données de calcul spine</t>
  </si>
  <si>
    <t>optimisation corde</t>
  </si>
  <si>
    <t>Poids</t>
  </si>
  <si>
    <t>Correction</t>
  </si>
  <si>
    <t>type</t>
  </si>
  <si>
    <t>Calculs</t>
  </si>
  <si>
    <t>??</t>
  </si>
  <si>
    <t>http://www.nitrostinger.com/</t>
  </si>
  <si>
    <t>http://www.carbonimpact.com/</t>
  </si>
  <si>
    <t>Carbon_Impact</t>
  </si>
  <si>
    <t>Hunter+ XLT 5000</t>
  </si>
  <si>
    <t>Hunter+ XLT 6000</t>
  </si>
  <si>
    <t>Hunter+ XLT 6500</t>
  </si>
  <si>
    <t>Fast shat XLT 4000</t>
  </si>
  <si>
    <t>Fast shat XLT 5000</t>
  </si>
  <si>
    <t>Fast shat XLT 6000</t>
  </si>
  <si>
    <t>Fast shat XLT 6500</t>
  </si>
  <si>
    <t>Ultra Fast 1500</t>
  </si>
  <si>
    <t>Ultra Fast 1200</t>
  </si>
  <si>
    <t>Ultra Fast 950</t>
  </si>
  <si>
    <t>Ultra Fast 820</t>
  </si>
  <si>
    <t>Ultra Fast 710</t>
  </si>
  <si>
    <t>Ultra Fast 620</t>
  </si>
  <si>
    <t>Ultra Fast 550</t>
  </si>
  <si>
    <t>Caractéristiques arc</t>
  </si>
  <si>
    <t>Force indiquée
(#)</t>
  </si>
  <si>
    <t>allonge de mesure
(In.)</t>
  </si>
  <si>
    <t>Votre allonge
(In.)</t>
  </si>
  <si>
    <t>Force de l'arc à l'allonge</t>
  </si>
  <si>
    <t>Position fenêtre (mm)</t>
  </si>
  <si>
    <t>Spine dynamique requis (#)</t>
  </si>
  <si>
    <t>Caractéristiques flèche</t>
  </si>
  <si>
    <t>Grains par #</t>
  </si>
  <si>
    <t>Poids (gramme)</t>
  </si>
  <si>
    <t>Vitesse (FPS)</t>
  </si>
  <si>
    <t>Position du centre de gravité (in.)</t>
  </si>
  <si>
    <t>shaft diameter</t>
  </si>
  <si>
    <t>Autre Tube/Fût</t>
  </si>
  <si>
    <t>Autre_Tube_Fût</t>
  </si>
  <si>
    <t>Autre / Fiche</t>
  </si>
  <si>
    <t>Autre / DSC</t>
  </si>
  <si>
    <t>Fiche Mat</t>
  </si>
  <si>
    <t>DSC</t>
  </si>
  <si>
    <t>Dynamic Spine Calculator</t>
  </si>
  <si>
    <t>Tube/Fût</t>
  </si>
  <si>
    <t>Nb grains par #</t>
  </si>
  <si>
    <t>Spine 
(en #)</t>
  </si>
  <si>
    <t>Type d'empenagee</t>
  </si>
  <si>
    <r>
      <rPr>
        <b/>
        <sz val="10"/>
        <color theme="1"/>
        <rFont val="Calibri"/>
        <family val="2"/>
      </rPr>
      <t>Ø</t>
    </r>
    <r>
      <rPr>
        <b/>
        <sz val="10"/>
        <color theme="1"/>
        <rFont val="Calibri"/>
        <family val="2"/>
        <scheme val="minor"/>
      </rPr>
      <t xml:space="preserve"> extérieur</t>
    </r>
  </si>
  <si>
    <t>Longueur Tube/fût 
(In.)</t>
  </si>
  <si>
    <t>Fournisseur</t>
  </si>
  <si>
    <t>Site internet</t>
  </si>
  <si>
    <t>http://www.goldtip.com/</t>
  </si>
  <si>
    <t>http://victoryarchery.com/</t>
  </si>
  <si>
    <t>http://www.eastonarchery.com/</t>
  </si>
  <si>
    <t>http://www.carbonexpressarrows.com/</t>
  </si>
  <si>
    <t>http://beman.com/</t>
  </si>
  <si>
    <t>Ref</t>
  </si>
  <si>
    <t>MR250</t>
  </si>
  <si>
    <t>MR350</t>
  </si>
  <si>
    <t>HE75</t>
  </si>
  <si>
    <t>HE90</t>
  </si>
  <si>
    <t>HE150</t>
  </si>
  <si>
    <t>HE250</t>
  </si>
  <si>
    <t>HE350</t>
  </si>
  <si>
    <t>MMP250</t>
  </si>
  <si>
    <t>MMP350</t>
  </si>
  <si>
    <t>MMP150</t>
  </si>
  <si>
    <t>MMP450</t>
  </si>
  <si>
    <t>MAX250</t>
  </si>
  <si>
    <t>MAX350</t>
  </si>
  <si>
    <t>MAX450</t>
  </si>
  <si>
    <t>MAX150</t>
  </si>
  <si>
    <t>http://www.byronferguson.com/</t>
  </si>
  <si>
    <t>Développée par Gold Tip. Nock Bearpaw.</t>
  </si>
  <si>
    <t>Puissance</t>
  </si>
  <si>
    <t>35-65</t>
  </si>
  <si>
    <t>55-75</t>
  </si>
  <si>
    <t>75-95</t>
  </si>
  <si>
    <t>Conversion</t>
  </si>
  <si>
    <t>Si Marque et Tube/fût posistionnés sur "Autre Tube/Fût"
Renseignez les champs à droite</t>
  </si>
  <si>
    <r>
      <rPr>
        <b/>
        <sz val="12"/>
        <rFont val="Calibri"/>
        <family val="2"/>
        <scheme val="minor"/>
      </rPr>
      <t xml:space="preserve">Ecart de </t>
    </r>
    <r>
      <rPr>
        <b/>
        <sz val="12"/>
        <color rgb="FFFF0000"/>
        <rFont val="Calibri"/>
        <family val="2"/>
      </rPr>
      <t xml:space="preserve">± </t>
    </r>
    <r>
      <rPr>
        <b/>
        <sz val="12"/>
        <color rgb="FFFF0000"/>
        <rFont val="Calibri"/>
        <family val="2"/>
        <scheme val="minor"/>
      </rPr>
      <t>1#</t>
    </r>
    <r>
      <rPr>
        <b/>
        <sz val="12"/>
        <rFont val="Calibri"/>
        <family val="2"/>
        <scheme val="minor"/>
      </rPr>
      <t xml:space="preserve"> au maximum entre les deux chiffres.</t>
    </r>
    <r>
      <rPr>
        <b/>
        <sz val="10"/>
        <rFont val="Calibri"/>
        <family val="2"/>
        <scheme val="minor"/>
      </rPr>
      <t xml:space="preserve"> 
Un réglage fin pourra alors être fait en jouant sur le band de l'arc.</t>
    </r>
  </si>
  <si>
    <r>
      <t>Basé sur le Dynamic Spine Calculator de</t>
    </r>
    <r>
      <rPr>
        <b/>
        <i/>
        <sz val="10"/>
        <color theme="1"/>
        <rFont val="Calibri"/>
        <family val="2"/>
        <scheme val="minor"/>
      </rPr>
      <t>LeTub</t>
    </r>
  </si>
  <si>
    <t>Deflection @ 26" w/2.0#
ATA</t>
  </si>
  <si>
    <t>Deflection @ 28" w/1.94#
ATSM</t>
  </si>
  <si>
    <t>Arrondi de diamètre tube</t>
  </si>
  <si>
    <t>Lenght
en mm</t>
  </si>
  <si>
    <t>ATA Spine Statique</t>
  </si>
  <si>
    <t>Uhyre 400</t>
  </si>
  <si>
    <t>Uhyre 450</t>
  </si>
  <si>
    <t>Uhyre 500</t>
  </si>
  <si>
    <t>Uhyre 550</t>
  </si>
  <si>
    <t>Uhyre 600</t>
  </si>
  <si>
    <t>Uhyre 650</t>
  </si>
  <si>
    <t>Uhyre 700</t>
  </si>
  <si>
    <t>Uhyre 750</t>
  </si>
  <si>
    <t>Uhyre 800</t>
  </si>
  <si>
    <t>Fibre de verre</t>
  </si>
  <si>
    <t>Normes</t>
  </si>
  <si>
    <t>Deflection measured in accordance to ASTM F2031-05 (2010), average value. ATA spine Basis 26″</t>
  </si>
  <si>
    <t>Straightness measured in accordance to ASTM F1889-05 (2010)</t>
  </si>
  <si>
    <t>H Nock</t>
  </si>
  <si>
    <t>S Nock</t>
  </si>
  <si>
    <t>Super Nock</t>
  </si>
  <si>
    <t>ICS Hunter Pro Lost camo 300</t>
  </si>
  <si>
    <t>ICS Hunter Pro Lost camo 340</t>
  </si>
  <si>
    <t>ICS Hunter Pro Lost camo 400</t>
  </si>
  <si>
    <t>ICS Hunter Pro Lost camo 500</t>
  </si>
  <si>
    <t>ICS Hunter 300</t>
  </si>
  <si>
    <t>ICS Hunter 340</t>
  </si>
  <si>
    <t>ICS Hunter 400</t>
  </si>
  <si>
    <t>ICS Hunter 500</t>
  </si>
  <si>
    <t>S ou G Nock</t>
  </si>
  <si>
    <t>http://www.winandwinblack.com/</t>
  </si>
  <si>
    <t>Diamètres tube introuvables</t>
  </si>
  <si>
    <t>Carbon_Tech</t>
  </si>
  <si>
    <t>http://www.carbontecharrows.com/</t>
  </si>
  <si>
    <t>Carbon Tech</t>
  </si>
  <si>
    <t>Cheetah 650</t>
  </si>
  <si>
    <t>Cheetah 25/50</t>
  </si>
  <si>
    <t>Cheetah 525</t>
  </si>
  <si>
    <t>Cheetah 35/60</t>
  </si>
  <si>
    <t>Cheetah 400</t>
  </si>
  <si>
    <t>Cheetah 45/70</t>
  </si>
  <si>
    <t>Cheetah 300</t>
  </si>
  <si>
    <t>Cheetah 55/80</t>
  </si>
  <si>
    <t>Whitetail 25/45 XP</t>
  </si>
  <si>
    <t>Whitetail 25/45</t>
  </si>
  <si>
    <t>Whitetail 35/55 XP</t>
  </si>
  <si>
    <t>Whitetail 35/55</t>
  </si>
  <si>
    <t>Whitetail 40/65 XP</t>
  </si>
  <si>
    <t>Whitetail 40/65</t>
  </si>
  <si>
    <t>Whitetail 65/80 XP</t>
  </si>
  <si>
    <t>Whitetail 65/80</t>
  </si>
  <si>
    <t>Rhino 35/60 XP</t>
  </si>
  <si>
    <t>Rhino 35/60</t>
  </si>
  <si>
    <t>Rhino 45/70 XP</t>
  </si>
  <si>
    <t>Rhino 45/70</t>
  </si>
  <si>
    <t>Rhino 55/80 XP</t>
  </si>
  <si>
    <t>Rhino 55/80</t>
  </si>
  <si>
    <t>Cougar 45/70</t>
  </si>
  <si>
    <t>Cougar 55/80</t>
  </si>
  <si>
    <t>Hippo 23/400 XP</t>
  </si>
  <si>
    <t>Hippo 23/400</t>
  </si>
  <si>
    <t>Orca 27/400</t>
  </si>
  <si>
    <t>Spine  (#)</t>
  </si>
  <si>
    <t>Déflection ATSM  (in.)</t>
  </si>
  <si>
    <t>Nb Flèches référencées</t>
  </si>
  <si>
    <t>Carbone/Fibre de verre</t>
  </si>
  <si>
    <t>Fournisseurs Flèches</t>
  </si>
  <si>
    <t>V 1,2,0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</si>
</sst>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
    <numFmt numFmtId="167" formatCode="#&quot; &quot;??/16"/>
    <numFmt numFmtId="168" formatCode="#&quot; &quot;??/64"/>
  </numFmts>
  <fonts count="51" x14ac:knownFonts="1">
    <font>
      <sz val="11"/>
      <color theme="1"/>
      <name val="Calibri"/>
      <family val="2"/>
      <scheme val="minor"/>
    </font>
    <font>
      <b/>
      <sz val="11"/>
      <color theme="1"/>
      <name val="Calibri"/>
      <family val="2"/>
      <scheme val="minor"/>
    </font>
    <font>
      <sz val="8"/>
      <color indexed="81"/>
      <name val="Tahoma"/>
      <family val="2"/>
    </font>
    <font>
      <sz val="10"/>
      <name val="Arial"/>
      <family val="2"/>
    </font>
    <font>
      <b/>
      <sz val="10"/>
      <color indexed="10"/>
      <name val="Arial"/>
      <family val="2"/>
    </font>
    <font>
      <b/>
      <sz val="20"/>
      <name val="Arial"/>
      <family val="2"/>
    </font>
    <font>
      <b/>
      <sz val="8"/>
      <color indexed="81"/>
      <name val="Tahoma"/>
      <family val="2"/>
    </font>
    <font>
      <sz val="11"/>
      <color theme="1"/>
      <name val="Calibri"/>
      <family val="2"/>
      <scheme val="minor"/>
    </font>
    <font>
      <sz val="11"/>
      <name val="Calibri"/>
      <family val="2"/>
      <scheme val="minor"/>
    </font>
    <font>
      <sz val="9"/>
      <color indexed="81"/>
      <name val="Tahoma"/>
      <family val="2"/>
    </font>
    <font>
      <b/>
      <sz val="9"/>
      <color indexed="81"/>
      <name val="Tahoma"/>
      <family val="2"/>
    </font>
    <font>
      <b/>
      <sz val="11"/>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sz val="10"/>
      <color theme="1"/>
      <name val="Calibri"/>
      <family val="2"/>
    </font>
    <font>
      <sz val="10"/>
      <color theme="1"/>
      <name val="Symbol"/>
      <family val="1"/>
      <charset val="2"/>
    </font>
    <font>
      <b/>
      <sz val="10"/>
      <color indexed="9"/>
      <name val="Calibri"/>
      <family val="2"/>
      <scheme val="minor"/>
    </font>
    <font>
      <b/>
      <sz val="10"/>
      <color rgb="FFFF0000"/>
      <name val="Calibri"/>
      <family val="2"/>
      <scheme val="minor"/>
    </font>
    <font>
      <b/>
      <sz val="10"/>
      <name val="Calibri"/>
      <family val="2"/>
      <scheme val="minor"/>
    </font>
    <font>
      <i/>
      <sz val="8"/>
      <color theme="1"/>
      <name val="Calibri"/>
      <family val="2"/>
      <scheme val="minor"/>
    </font>
    <font>
      <sz val="12"/>
      <color rgb="FFFF0000"/>
      <name val="Calibri"/>
      <family val="2"/>
    </font>
    <font>
      <sz val="12"/>
      <color rgb="FFFF0000"/>
      <name val="Calibri"/>
      <family val="2"/>
      <scheme val="minor"/>
    </font>
    <font>
      <sz val="10"/>
      <color theme="0" tint="-0.34998626667073579"/>
      <name val="Calibri"/>
      <family val="2"/>
      <scheme val="minor"/>
    </font>
    <font>
      <b/>
      <sz val="16"/>
      <color theme="1"/>
      <name val="Calibri"/>
      <family val="2"/>
      <scheme val="minor"/>
    </font>
    <font>
      <u/>
      <sz val="11"/>
      <color theme="10"/>
      <name val="Calibri"/>
      <family val="2"/>
      <scheme val="minor"/>
    </font>
    <font>
      <sz val="9"/>
      <color indexed="81"/>
      <name val="Tahoma"/>
      <charset val="1"/>
    </font>
    <font>
      <b/>
      <sz val="9"/>
      <color indexed="81"/>
      <name val="Tahoma"/>
      <charset val="1"/>
    </font>
    <font>
      <b/>
      <sz val="10"/>
      <name val="Arial"/>
      <family val="2"/>
    </font>
    <font>
      <sz val="10"/>
      <color theme="1"/>
      <name val="Arial"/>
      <family val="2"/>
    </font>
    <font>
      <sz val="12"/>
      <name val="Calibri"/>
      <family val="2"/>
      <scheme val="minor"/>
    </font>
    <font>
      <sz val="9"/>
      <name val="Arial"/>
      <family val="2"/>
    </font>
    <font>
      <b/>
      <sz val="10"/>
      <color theme="1"/>
      <name val="Arial"/>
      <family val="2"/>
    </font>
    <font>
      <sz val="20"/>
      <name val="Arial"/>
      <family val="2"/>
    </font>
    <font>
      <sz val="18"/>
      <name val="Arial"/>
      <family val="2"/>
    </font>
    <font>
      <sz val="8"/>
      <color indexed="81"/>
      <name val="Tahoma"/>
    </font>
    <font>
      <sz val="8"/>
      <color indexed="81"/>
      <name val="Symbol"/>
      <family val="1"/>
      <charset val="2"/>
    </font>
    <font>
      <sz val="10"/>
      <name val="Calibri"/>
      <family val="2"/>
      <scheme val="minor"/>
    </font>
    <font>
      <b/>
      <sz val="12"/>
      <color rgb="FFFF0000"/>
      <name val="Calibri"/>
      <family val="2"/>
      <scheme val="minor"/>
    </font>
    <font>
      <sz val="9"/>
      <color theme="1"/>
      <name val="Calibri"/>
      <family val="2"/>
      <scheme val="minor"/>
    </font>
    <font>
      <b/>
      <sz val="18"/>
      <color theme="1"/>
      <name val="Calibri"/>
      <family val="2"/>
      <scheme val="minor"/>
    </font>
    <font>
      <b/>
      <sz val="14"/>
      <color theme="1"/>
      <name val="Calibri"/>
      <family val="2"/>
      <scheme val="minor"/>
    </font>
    <font>
      <b/>
      <sz val="12"/>
      <name val="Calibri"/>
      <family val="2"/>
      <scheme val="minor"/>
    </font>
    <font>
      <b/>
      <sz val="10"/>
      <color theme="1"/>
      <name val="Calibri"/>
      <family val="2"/>
    </font>
    <font>
      <u/>
      <sz val="10"/>
      <color theme="10"/>
      <name val="Calibri"/>
      <family val="2"/>
      <scheme val="minor"/>
    </font>
    <font>
      <b/>
      <sz val="11"/>
      <color theme="0"/>
      <name val="Calibri"/>
      <family val="2"/>
      <scheme val="minor"/>
    </font>
    <font>
      <i/>
      <sz val="9"/>
      <color theme="1"/>
      <name val="Calibri"/>
      <family val="2"/>
      <scheme val="minor"/>
    </font>
    <font>
      <b/>
      <sz val="12"/>
      <color rgb="FFFF0000"/>
      <name val="Calibri"/>
      <family val="2"/>
    </font>
    <font>
      <b/>
      <i/>
      <sz val="10"/>
      <color theme="1"/>
      <name val="Calibri"/>
      <family val="2"/>
      <scheme val="minor"/>
    </font>
    <font>
      <sz val="11"/>
      <color theme="1"/>
      <name val="Arial"/>
      <family val="2"/>
    </font>
    <font>
      <sz val="11"/>
      <name val="Arial"/>
      <family val="2"/>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13"/>
        <bgColor indexed="64"/>
      </patternFill>
    </fill>
    <fill>
      <patternFill patternType="solid">
        <fgColor indexed="8"/>
        <bgColor indexed="64"/>
      </patternFill>
    </fill>
    <fill>
      <patternFill patternType="solid">
        <fgColor rgb="FF00FF00"/>
        <bgColor indexed="64"/>
      </patternFill>
    </fill>
  </fills>
  <borders count="48">
    <border>
      <left/>
      <right/>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14996795556505021"/>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right style="thin">
        <color theme="0" tint="-0.24994659260841701"/>
      </right>
      <top style="thin">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right/>
      <top style="medium">
        <color theme="0" tint="-0.24994659260841701"/>
      </top>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s>
  <cellStyleXfs count="4">
    <xf numFmtId="0" fontId="0" fillId="0" borderId="0"/>
    <xf numFmtId="0" fontId="3" fillId="0" borderId="0"/>
    <xf numFmtId="9" fontId="7" fillId="0" borderId="0" applyFont="0" applyFill="0" applyBorder="0" applyAlignment="0" applyProtection="0"/>
    <xf numFmtId="0" fontId="25" fillId="0" borderId="0" applyNumberFormat="0" applyFill="0" applyBorder="0" applyAlignment="0" applyProtection="0"/>
  </cellStyleXfs>
  <cellXfs count="343">
    <xf numFmtId="0" fontId="0" fillId="0" borderId="0" xfId="0"/>
    <xf numFmtId="0" fontId="1" fillId="0" borderId="0" xfId="0" applyFont="1"/>
    <xf numFmtId="0" fontId="0" fillId="0" borderId="0" xfId="0" applyAlignment="1">
      <alignment horizontal="left"/>
    </xf>
    <xf numFmtId="0" fontId="0" fillId="0" borderId="0" xfId="0" applyFont="1"/>
    <xf numFmtId="0" fontId="0" fillId="0" borderId="0" xfId="0" applyFont="1" applyAlignment="1">
      <alignment horizontal="left"/>
    </xf>
    <xf numFmtId="0" fontId="3" fillId="0" borderId="0" xfId="1" applyAlignment="1">
      <alignment horizontal="center" vertical="center"/>
    </xf>
    <xf numFmtId="0" fontId="3" fillId="0" borderId="6" xfId="1" applyBorder="1"/>
    <xf numFmtId="0" fontId="12" fillId="2" borderId="1" xfId="0" applyFont="1" applyFill="1" applyBorder="1" applyAlignment="1">
      <alignment vertical="center"/>
    </xf>
    <xf numFmtId="0" fontId="13" fillId="0" borderId="1" xfId="0" applyFont="1" applyBorder="1" applyAlignment="1"/>
    <xf numFmtId="0" fontId="14" fillId="0" borderId="1" xfId="0" applyFont="1" applyBorder="1"/>
    <xf numFmtId="0" fontId="13" fillId="0" borderId="1" xfId="0" applyFont="1" applyBorder="1"/>
    <xf numFmtId="0" fontId="13" fillId="0" borderId="0" xfId="0" applyFont="1"/>
    <xf numFmtId="0" fontId="13" fillId="4" borderId="0" xfId="0" applyFont="1" applyFill="1" applyAlignment="1">
      <alignment horizontal="center" vertical="center" wrapText="1"/>
    </xf>
    <xf numFmtId="0" fontId="15" fillId="4" borderId="0" xfId="0" applyFont="1" applyFill="1" applyAlignment="1">
      <alignment horizontal="center" vertical="center" wrapText="1"/>
    </xf>
    <xf numFmtId="2" fontId="14" fillId="5" borderId="0" xfId="0" applyNumberFormat="1" applyFont="1" applyFill="1" applyAlignment="1">
      <alignment horizontal="center"/>
    </xf>
    <xf numFmtId="0" fontId="13" fillId="0" borderId="0" xfId="0" applyFont="1" applyAlignment="1">
      <alignment vertical="center"/>
    </xf>
    <xf numFmtId="0" fontId="14" fillId="5" borderId="0" xfId="0" applyFont="1" applyFill="1" applyAlignment="1">
      <alignment horizontal="center" vertical="center"/>
    </xf>
    <xf numFmtId="0" fontId="14" fillId="5" borderId="0" xfId="0" applyFont="1" applyFill="1" applyAlignment="1">
      <alignment horizontal="center"/>
    </xf>
    <xf numFmtId="0" fontId="13" fillId="3" borderId="0" xfId="0" applyFont="1" applyFill="1" applyAlignment="1">
      <alignment horizontal="center" vertical="center" wrapText="1"/>
    </xf>
    <xf numFmtId="1" fontId="14" fillId="5" borderId="0" xfId="0" applyNumberFormat="1" applyFont="1" applyFill="1" applyAlignment="1">
      <alignment horizontal="center"/>
    </xf>
    <xf numFmtId="10" fontId="14" fillId="5" borderId="0" xfId="2" applyNumberFormat="1" applyFont="1" applyFill="1" applyAlignment="1">
      <alignment horizontal="center"/>
    </xf>
    <xf numFmtId="2" fontId="17" fillId="7" borderId="0" xfId="0" applyNumberFormat="1" applyFont="1" applyFill="1" applyBorder="1" applyAlignment="1">
      <alignment horizontal="center" vertical="center"/>
    </xf>
    <xf numFmtId="2" fontId="13" fillId="5" borderId="0" xfId="0" applyNumberFormat="1" applyFont="1" applyFill="1" applyAlignment="1">
      <alignment horizontal="center"/>
    </xf>
    <xf numFmtId="0" fontId="18" fillId="0" borderId="10" xfId="0" applyFont="1" applyBorder="1" applyAlignment="1"/>
    <xf numFmtId="2" fontId="19" fillId="8" borderId="0" xfId="0" applyNumberFormat="1" applyFont="1" applyFill="1" applyBorder="1" applyAlignment="1">
      <alignment horizontal="center" vertical="center"/>
    </xf>
    <xf numFmtId="0" fontId="14" fillId="0" borderId="0" xfId="0" applyFont="1" applyAlignment="1" applyProtection="1">
      <alignment horizontal="center"/>
      <protection locked="0"/>
    </xf>
    <xf numFmtId="0" fontId="14" fillId="0" borderId="0" xfId="0" applyFont="1" applyAlignment="1" applyProtection="1">
      <alignment horizontal="center" vertical="center"/>
      <protection locked="0"/>
    </xf>
    <xf numFmtId="0" fontId="14"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center"/>
      <protection locked="0"/>
    </xf>
    <xf numFmtId="0" fontId="14" fillId="0" borderId="0" xfId="0" applyNumberFormat="1" applyFont="1" applyAlignment="1" applyProtection="1">
      <alignment horizontal="center"/>
      <protection locked="0"/>
    </xf>
    <xf numFmtId="49" fontId="14" fillId="0" borderId="0" xfId="0" applyNumberFormat="1" applyFont="1" applyAlignment="1" applyProtection="1">
      <alignment horizontal="center" vertical="center"/>
      <protection locked="0"/>
    </xf>
    <xf numFmtId="0" fontId="14" fillId="5" borderId="0" xfId="0" applyFont="1" applyFill="1" applyAlignment="1" applyProtection="1">
      <alignment horizontal="center"/>
      <protection locked="0"/>
    </xf>
    <xf numFmtId="0" fontId="14" fillId="5" borderId="0" xfId="0" applyFont="1" applyFill="1" applyAlignment="1" applyProtection="1">
      <alignment horizontal="center" vertical="center"/>
      <protection locked="0"/>
    </xf>
    <xf numFmtId="0" fontId="14" fillId="0" borderId="0" xfId="0" applyFont="1" applyBorder="1" applyAlignment="1" applyProtection="1">
      <alignment horizontal="center"/>
      <protection locked="0"/>
    </xf>
    <xf numFmtId="2" fontId="0" fillId="0" borderId="0" xfId="0" applyNumberFormat="1"/>
    <xf numFmtId="0" fontId="13" fillId="4" borderId="13" xfId="0" applyFont="1" applyFill="1" applyBorder="1" applyAlignment="1">
      <alignment horizontal="center" vertical="center" wrapText="1"/>
    </xf>
    <xf numFmtId="0" fontId="13" fillId="0" borderId="0" xfId="0" applyFont="1" applyProtection="1">
      <protection locked="0"/>
    </xf>
    <xf numFmtId="0" fontId="14" fillId="0" borderId="0" xfId="0" applyFont="1" applyBorder="1" applyAlignment="1" applyProtection="1">
      <alignment horizont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164" fontId="14" fillId="0" borderId="0" xfId="0" applyNumberFormat="1" applyFont="1" applyAlignment="1" applyProtection="1">
      <alignment horizontal="center"/>
      <protection locked="0"/>
    </xf>
    <xf numFmtId="0" fontId="0" fillId="0" borderId="6" xfId="0" applyBorder="1"/>
    <xf numFmtId="49" fontId="3" fillId="0" borderId="6" xfId="1" applyNumberFormat="1" applyBorder="1"/>
    <xf numFmtId="0" fontId="13" fillId="4" borderId="14" xfId="0" applyFont="1" applyFill="1" applyBorder="1" applyAlignment="1">
      <alignment horizontal="center" vertical="center" wrapText="1"/>
    </xf>
    <xf numFmtId="0" fontId="24" fillId="0" borderId="0" xfId="0" applyFont="1" applyAlignment="1"/>
    <xf numFmtId="0" fontId="24" fillId="0" borderId="0" xfId="0" applyFont="1" applyAlignment="1">
      <alignment horizontal="center" vertical="center" wrapText="1"/>
    </xf>
    <xf numFmtId="0" fontId="0" fillId="0" borderId="14" xfId="0" applyBorder="1" applyProtection="1">
      <protection locked="0"/>
    </xf>
    <xf numFmtId="0" fontId="13" fillId="0" borderId="1" xfId="0" applyFont="1" applyBorder="1" applyAlignment="1">
      <alignment horizontal="center" vertical="center"/>
    </xf>
    <xf numFmtId="0" fontId="13" fillId="0" borderId="1" xfId="0" applyFont="1" applyBorder="1" applyAlignment="1">
      <alignment horizontal="right" vertical="center"/>
    </xf>
    <xf numFmtId="0" fontId="13" fillId="4" borderId="1" xfId="0" applyFont="1" applyFill="1" applyBorder="1" applyAlignment="1">
      <alignment horizontal="right" vertical="center" wrapText="1"/>
    </xf>
    <xf numFmtId="0" fontId="19" fillId="0" borderId="1" xfId="1" applyFont="1" applyBorder="1" applyAlignment="1" applyProtection="1">
      <alignment horizontal="center" vertical="center"/>
      <protection locked="0"/>
    </xf>
    <xf numFmtId="166" fontId="14" fillId="5" borderId="15" xfId="0" applyNumberFormat="1" applyFont="1" applyFill="1" applyBorder="1" applyAlignment="1" applyProtection="1">
      <alignment horizontal="center"/>
    </xf>
    <xf numFmtId="0" fontId="14" fillId="0" borderId="0" xfId="0" applyFont="1" applyAlignment="1" applyProtection="1">
      <alignment horizontal="center" vertical="center"/>
      <protection locked="0"/>
    </xf>
    <xf numFmtId="2" fontId="1" fillId="0" borderId="0" xfId="0" applyNumberFormat="1" applyFont="1"/>
    <xf numFmtId="164" fontId="0" fillId="0" borderId="0" xfId="0" applyNumberFormat="1"/>
    <xf numFmtId="2" fontId="0" fillId="5" borderId="0" xfId="0" applyNumberFormat="1" applyFill="1"/>
    <xf numFmtId="164" fontId="0" fillId="5" borderId="0" xfId="0" applyNumberFormat="1" applyFill="1"/>
    <xf numFmtId="0" fontId="31" fillId="0" borderId="0" xfId="1" applyFont="1" applyBorder="1" applyAlignment="1" applyProtection="1">
      <alignment horizontal="left" vertical="center"/>
    </xf>
    <xf numFmtId="0" fontId="3" fillId="0" borderId="9" xfId="1" applyBorder="1" applyAlignment="1">
      <alignment horizontal="center" vertical="center"/>
    </xf>
    <xf numFmtId="0" fontId="3" fillId="0" borderId="0" xfId="1" applyAlignment="1">
      <alignment vertical="center"/>
    </xf>
    <xf numFmtId="0" fontId="3" fillId="0" borderId="5" xfId="1" applyBorder="1" applyAlignment="1">
      <alignment horizontal="center" vertical="center"/>
    </xf>
    <xf numFmtId="0" fontId="3" fillId="0" borderId="9" xfId="1" applyBorder="1" applyAlignment="1">
      <alignment vertical="center"/>
    </xf>
    <xf numFmtId="0" fontId="3" fillId="0" borderId="5" xfId="1" applyBorder="1" applyAlignment="1">
      <alignment vertical="center"/>
    </xf>
    <xf numFmtId="2" fontId="8" fillId="0" borderId="16" xfId="0" applyNumberFormat="1" applyFont="1" applyFill="1" applyBorder="1" applyAlignment="1">
      <alignment horizontal="center" vertical="center"/>
    </xf>
    <xf numFmtId="13" fontId="3" fillId="0" borderId="0" xfId="1" applyNumberFormat="1" applyAlignment="1">
      <alignment horizontal="center" vertical="center"/>
    </xf>
    <xf numFmtId="1" fontId="3" fillId="0" borderId="10" xfId="1" applyNumberFormat="1" applyBorder="1" applyAlignment="1">
      <alignment horizontal="center" vertical="center"/>
    </xf>
    <xf numFmtId="0" fontId="3" fillId="0" borderId="10" xfId="1" applyBorder="1" applyAlignment="1">
      <alignment vertical="center"/>
    </xf>
    <xf numFmtId="1" fontId="3" fillId="0" borderId="10" xfId="1" applyNumberFormat="1" applyFill="1" applyBorder="1" applyAlignment="1">
      <alignment horizontal="center" vertical="center"/>
    </xf>
    <xf numFmtId="1" fontId="3" fillId="0" borderId="4" xfId="1" applyNumberFormat="1" applyFill="1" applyBorder="1" applyAlignment="1">
      <alignment horizontal="center" vertical="center"/>
    </xf>
    <xf numFmtId="0" fontId="3" fillId="0" borderId="10" xfId="1" applyBorder="1" applyAlignment="1">
      <alignment horizontal="center" vertical="center"/>
    </xf>
    <xf numFmtId="0" fontId="3" fillId="0" borderId="0" xfId="1" applyFont="1" applyAlignment="1" applyProtection="1">
      <alignment horizontal="left"/>
    </xf>
    <xf numFmtId="0" fontId="3" fillId="0" borderId="0" xfId="1" applyFont="1" applyAlignment="1">
      <alignment horizontal="center" vertical="center"/>
    </xf>
    <xf numFmtId="166" fontId="8" fillId="0" borderId="11" xfId="0" applyNumberFormat="1" applyFont="1" applyFill="1" applyBorder="1" applyAlignment="1" applyProtection="1">
      <alignment horizontal="left" vertical="center" wrapText="1"/>
    </xf>
    <xf numFmtId="0" fontId="28" fillId="0" borderId="0" xfId="1" applyFont="1" applyAlignment="1">
      <alignment vertical="center"/>
    </xf>
    <xf numFmtId="0" fontId="3" fillId="0" borderId="7" xfId="1" applyBorder="1" applyAlignment="1">
      <alignment horizontal="center" vertical="center"/>
    </xf>
    <xf numFmtId="0" fontId="3" fillId="0" borderId="8" xfId="1" applyBorder="1" applyAlignment="1">
      <alignment horizontal="center" vertical="center"/>
    </xf>
    <xf numFmtId="2" fontId="3" fillId="0" borderId="0" xfId="1" applyNumberFormat="1" applyAlignment="1">
      <alignment vertical="center"/>
    </xf>
    <xf numFmtId="0" fontId="3" fillId="0" borderId="2" xfId="1" applyFont="1" applyBorder="1" applyAlignment="1">
      <alignment vertical="center"/>
    </xf>
    <xf numFmtId="0" fontId="3" fillId="0" borderId="3" xfId="1" applyBorder="1" applyAlignment="1">
      <alignment horizontal="center" vertical="center"/>
    </xf>
    <xf numFmtId="0" fontId="3" fillId="0" borderId="0" xfId="1" applyFont="1" applyAlignment="1">
      <alignment vertical="center"/>
    </xf>
    <xf numFmtId="0" fontId="3" fillId="0" borderId="4" xfId="1" applyFont="1" applyBorder="1" applyAlignment="1">
      <alignment vertical="center"/>
    </xf>
    <xf numFmtId="0" fontId="3" fillId="0" borderId="12" xfId="1" applyBorder="1" applyAlignment="1">
      <alignment horizontal="center" vertical="center"/>
    </xf>
    <xf numFmtId="13" fontId="4" fillId="0" borderId="2" xfId="1" applyNumberFormat="1" applyFont="1" applyFill="1" applyBorder="1" applyAlignment="1">
      <alignment horizontal="center" vertical="center"/>
    </xf>
    <xf numFmtId="1" fontId="3" fillId="0" borderId="13" xfId="1" applyNumberFormat="1" applyFont="1" applyBorder="1" applyAlignment="1">
      <alignment horizontal="center" vertical="center"/>
    </xf>
    <xf numFmtId="1" fontId="3" fillId="0" borderId="3" xfId="1" applyNumberFormat="1" applyBorder="1" applyAlignment="1">
      <alignment vertical="center"/>
    </xf>
    <xf numFmtId="13" fontId="4" fillId="0" borderId="10" xfId="1" applyNumberFormat="1" applyFont="1" applyBorder="1" applyAlignment="1">
      <alignment horizontal="center" vertical="center"/>
    </xf>
    <xf numFmtId="1" fontId="3" fillId="0" borderId="0" xfId="1" applyNumberFormat="1" applyFont="1" applyBorder="1" applyAlignment="1">
      <alignment horizontal="center" vertical="center"/>
    </xf>
    <xf numFmtId="1" fontId="3" fillId="0" borderId="9" xfId="1" applyNumberFormat="1" applyBorder="1" applyAlignment="1">
      <alignment vertical="center"/>
    </xf>
    <xf numFmtId="0" fontId="3" fillId="0" borderId="10" xfId="1" applyNumberFormat="1" applyFont="1" applyBorder="1" applyAlignment="1">
      <alignment horizontal="center" vertical="center"/>
    </xf>
    <xf numFmtId="13" fontId="3" fillId="0" borderId="10" xfId="1" applyNumberFormat="1" applyFont="1" applyBorder="1" applyAlignment="1">
      <alignment horizontal="center" vertical="center"/>
    </xf>
    <xf numFmtId="13" fontId="3" fillId="0" borderId="10" xfId="1" applyNumberFormat="1" applyFont="1" applyFill="1" applyBorder="1" applyAlignment="1">
      <alignment horizontal="center" vertical="center"/>
    </xf>
    <xf numFmtId="13" fontId="3" fillId="0" borderId="4" xfId="1" applyNumberFormat="1" applyFont="1" applyFill="1" applyBorder="1" applyAlignment="1">
      <alignment horizontal="center" vertical="center"/>
    </xf>
    <xf numFmtId="1" fontId="3" fillId="0" borderId="1" xfId="1" applyNumberFormat="1" applyFont="1" applyBorder="1" applyAlignment="1">
      <alignment horizontal="center" vertical="center"/>
    </xf>
    <xf numFmtId="1" fontId="3" fillId="0" borderId="5" xfId="1" applyNumberFormat="1" applyBorder="1" applyAlignment="1">
      <alignment vertical="center"/>
    </xf>
    <xf numFmtId="0" fontId="3" fillId="0" borderId="2" xfId="1" applyBorder="1" applyAlignment="1">
      <alignment vertical="center"/>
    </xf>
    <xf numFmtId="0" fontId="3" fillId="0" borderId="3" xfId="1" applyBorder="1" applyAlignment="1">
      <alignment vertical="center"/>
    </xf>
    <xf numFmtId="0" fontId="3" fillId="0" borderId="4" xfId="1" applyBorder="1" applyAlignment="1">
      <alignment horizontal="center" vertical="center"/>
    </xf>
    <xf numFmtId="2" fontId="3" fillId="0" borderId="3" xfId="1" applyNumberFormat="1" applyBorder="1" applyAlignment="1">
      <alignment horizontal="center" vertical="center"/>
    </xf>
    <xf numFmtId="165" fontId="3" fillId="0" borderId="0" xfId="1" applyNumberFormat="1" applyBorder="1" applyAlignment="1">
      <alignment vertical="center"/>
    </xf>
    <xf numFmtId="0" fontId="3" fillId="0" borderId="10" xfId="1" applyFont="1" applyBorder="1" applyAlignment="1">
      <alignment vertical="center"/>
    </xf>
    <xf numFmtId="2" fontId="3" fillId="0" borderId="9" xfId="1" applyNumberFormat="1" applyBorder="1" applyAlignment="1">
      <alignment horizontal="center" vertical="center"/>
    </xf>
    <xf numFmtId="2" fontId="3" fillId="0" borderId="5" xfId="1" applyNumberFormat="1" applyBorder="1" applyAlignment="1">
      <alignment horizontal="center" vertical="center"/>
    </xf>
    <xf numFmtId="0" fontId="3" fillId="0" borderId="13" xfId="1" applyBorder="1" applyAlignment="1">
      <alignment vertical="center"/>
    </xf>
    <xf numFmtId="0" fontId="3" fillId="0" borderId="0" xfId="1" applyBorder="1" applyAlignment="1">
      <alignment vertical="center"/>
    </xf>
    <xf numFmtId="0" fontId="3" fillId="0" borderId="4" xfId="1" applyBorder="1" applyAlignment="1">
      <alignment vertical="center"/>
    </xf>
    <xf numFmtId="0" fontId="3" fillId="0" borderId="1" xfId="1" applyBorder="1" applyAlignment="1">
      <alignment vertical="center"/>
    </xf>
    <xf numFmtId="0" fontId="3" fillId="0" borderId="0" xfId="1" applyAlignment="1">
      <alignment horizontal="right" vertical="center"/>
    </xf>
    <xf numFmtId="164" fontId="3" fillId="0" borderId="0" xfId="1" applyNumberFormat="1" applyAlignment="1">
      <alignment vertical="center"/>
    </xf>
    <xf numFmtId="164" fontId="3" fillId="5" borderId="0" xfId="1" applyNumberFormat="1" applyFill="1" applyAlignment="1">
      <alignment vertical="center"/>
    </xf>
    <xf numFmtId="2" fontId="3" fillId="5" borderId="0" xfId="1" applyNumberFormat="1" applyFill="1" applyAlignment="1">
      <alignment vertical="center"/>
    </xf>
    <xf numFmtId="0" fontId="3" fillId="0" borderId="6" xfId="1" applyBorder="1" applyAlignment="1">
      <alignment horizontal="center" vertical="center"/>
    </xf>
    <xf numFmtId="0" fontId="34" fillId="0" borderId="0" xfId="0" applyFont="1" applyBorder="1" applyAlignment="1">
      <alignment vertic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17" xfId="0" applyBorder="1" applyAlignment="1">
      <alignment horizontal="center" vertical="top" wrapText="1"/>
    </xf>
    <xf numFmtId="2" fontId="0" fillId="6" borderId="22" xfId="0" applyNumberFormat="1" applyFill="1" applyBorder="1" applyAlignment="1">
      <alignment horizontal="center" vertical="center"/>
    </xf>
    <xf numFmtId="0" fontId="0" fillId="0" borderId="18" xfId="0" applyBorder="1" applyAlignment="1">
      <alignment horizontal="center" vertical="center"/>
    </xf>
    <xf numFmtId="166" fontId="0" fillId="0" borderId="6" xfId="0" applyNumberFormat="1" applyBorder="1" applyAlignment="1">
      <alignment horizontal="center" vertical="center"/>
    </xf>
    <xf numFmtId="0" fontId="0" fillId="0" borderId="19" xfId="0" applyBorder="1"/>
    <xf numFmtId="0" fontId="18" fillId="0" borderId="0" xfId="0" applyFont="1" applyBorder="1" applyAlignment="1">
      <alignment vertical="center" wrapText="1"/>
    </xf>
    <xf numFmtId="0" fontId="0" fillId="0" borderId="0" xfId="0"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top"/>
    </xf>
    <xf numFmtId="0" fontId="0" fillId="0" borderId="0" xfId="0" applyBorder="1"/>
    <xf numFmtId="1" fontId="3" fillId="0" borderId="14" xfId="0" applyNumberFormat="1" applyFont="1" applyFill="1" applyBorder="1" applyAlignment="1" applyProtection="1">
      <alignment horizontal="center" vertical="center"/>
      <protection locked="0"/>
    </xf>
    <xf numFmtId="1" fontId="3" fillId="0" borderId="26" xfId="0" applyNumberFormat="1" applyFont="1" applyFill="1" applyBorder="1" applyAlignment="1" applyProtection="1">
      <alignment horizontal="center" vertical="center"/>
      <protection locked="0"/>
    </xf>
    <xf numFmtId="1" fontId="13" fillId="0" borderId="14" xfId="0" applyNumberFormat="1" applyFont="1" applyFill="1" applyBorder="1" applyAlignment="1" applyProtection="1">
      <alignment horizontal="center" vertical="center"/>
      <protection locked="0"/>
    </xf>
    <xf numFmtId="2" fontId="13" fillId="0" borderId="14" xfId="0" applyNumberFormat="1" applyFont="1" applyFill="1" applyBorder="1" applyAlignment="1" applyProtection="1">
      <alignment horizontal="center" vertical="center"/>
      <protection locked="0"/>
    </xf>
    <xf numFmtId="2" fontId="13" fillId="0" borderId="14" xfId="0" applyNumberFormat="1" applyFont="1" applyFill="1" applyBorder="1" applyAlignment="1" applyProtection="1">
      <alignment horizontal="center" vertical="center" wrapText="1"/>
      <protection locked="0"/>
    </xf>
    <xf numFmtId="1" fontId="13" fillId="0" borderId="26" xfId="0" applyNumberFormat="1" applyFont="1" applyFill="1" applyBorder="1" applyAlignment="1" applyProtection="1">
      <alignment horizontal="center" vertical="center"/>
      <protection locked="0"/>
    </xf>
    <xf numFmtId="2" fontId="13" fillId="0" borderId="26" xfId="0" applyNumberFormat="1" applyFont="1" applyFill="1" applyBorder="1" applyAlignment="1" applyProtection="1">
      <alignment horizontal="center" vertical="center"/>
      <protection locked="0"/>
    </xf>
    <xf numFmtId="2" fontId="13" fillId="0" borderId="26" xfId="0" applyNumberFormat="1" applyFont="1" applyFill="1" applyBorder="1" applyAlignment="1" applyProtection="1">
      <alignment horizontal="center" vertical="center" wrapText="1"/>
      <protection locked="0"/>
    </xf>
    <xf numFmtId="1" fontId="13" fillId="0" borderId="28" xfId="0" applyNumberFormat="1" applyFont="1" applyFill="1" applyBorder="1" applyAlignment="1" applyProtection="1">
      <alignment horizontal="center" vertical="center"/>
      <protection locked="0"/>
    </xf>
    <xf numFmtId="2" fontId="13" fillId="0" borderId="28" xfId="0" applyNumberFormat="1" applyFont="1" applyFill="1" applyBorder="1" applyAlignment="1" applyProtection="1">
      <alignment horizontal="center" vertical="center"/>
      <protection locked="0"/>
    </xf>
    <xf numFmtId="2" fontId="13" fillId="0" borderId="28" xfId="0" applyNumberFormat="1" applyFont="1" applyFill="1" applyBorder="1" applyAlignment="1" applyProtection="1">
      <alignment horizontal="center" vertical="center" wrapText="1"/>
      <protection locked="0"/>
    </xf>
    <xf numFmtId="1" fontId="3" fillId="0" borderId="28" xfId="0" applyNumberFormat="1" applyFont="1" applyFill="1" applyBorder="1" applyAlignment="1" applyProtection="1">
      <alignment horizontal="center" vertical="center"/>
      <protection locked="0"/>
    </xf>
    <xf numFmtId="1" fontId="13" fillId="0" borderId="33" xfId="0" applyNumberFormat="1" applyFont="1" applyFill="1" applyBorder="1" applyAlignment="1" applyProtection="1">
      <alignment horizontal="center" vertical="center"/>
      <protection locked="0"/>
    </xf>
    <xf numFmtId="1" fontId="13" fillId="0" borderId="24" xfId="0" applyNumberFormat="1" applyFont="1" applyFill="1" applyBorder="1" applyAlignment="1" applyProtection="1">
      <alignment horizontal="center" vertical="center"/>
      <protection locked="0"/>
    </xf>
    <xf numFmtId="1" fontId="13" fillId="0" borderId="27" xfId="0" applyNumberFormat="1" applyFont="1" applyFill="1" applyBorder="1" applyAlignment="1" applyProtection="1">
      <alignment horizontal="center" vertical="center"/>
      <protection locked="0"/>
    </xf>
    <xf numFmtId="0" fontId="13" fillId="0" borderId="43" xfId="0" applyFont="1" applyFill="1" applyBorder="1" applyAlignment="1">
      <alignment horizontal="center" vertical="center" wrapText="1"/>
    </xf>
    <xf numFmtId="166" fontId="37" fillId="5" borderId="38" xfId="0" applyNumberFormat="1" applyFont="1" applyFill="1" applyBorder="1" applyAlignment="1">
      <alignment horizontal="center" vertical="center"/>
    </xf>
    <xf numFmtId="1" fontId="37" fillId="5" borderId="28" xfId="0" applyNumberFormat="1" applyFont="1" applyFill="1" applyBorder="1" applyAlignment="1">
      <alignment horizontal="center" vertical="center"/>
    </xf>
    <xf numFmtId="166" fontId="37" fillId="5" borderId="28" xfId="0" applyNumberFormat="1" applyFont="1" applyFill="1" applyBorder="1" applyAlignment="1">
      <alignment horizontal="center" vertical="center"/>
    </xf>
    <xf numFmtId="2" fontId="37" fillId="5" borderId="28" xfId="0" applyNumberFormat="1" applyFont="1" applyFill="1" applyBorder="1" applyAlignment="1">
      <alignment horizontal="center" vertical="center"/>
    </xf>
    <xf numFmtId="2" fontId="17" fillId="7" borderId="33" xfId="0" applyNumberFormat="1" applyFont="1" applyFill="1" applyBorder="1" applyAlignment="1">
      <alignment horizontal="center" vertical="center"/>
    </xf>
    <xf numFmtId="1" fontId="37" fillId="5" borderId="14" xfId="0" applyNumberFormat="1" applyFont="1" applyFill="1" applyBorder="1" applyAlignment="1">
      <alignment horizontal="center" vertical="center"/>
    </xf>
    <xf numFmtId="166" fontId="37" fillId="5" borderId="14" xfId="0" applyNumberFormat="1" applyFont="1" applyFill="1" applyBorder="1" applyAlignment="1">
      <alignment horizontal="center" vertical="center"/>
    </xf>
    <xf numFmtId="2" fontId="37" fillId="5" borderId="14" xfId="0" applyNumberFormat="1" applyFont="1" applyFill="1" applyBorder="1" applyAlignment="1">
      <alignment horizontal="center" vertical="center"/>
    </xf>
    <xf numFmtId="2" fontId="17" fillId="7" borderId="24" xfId="0" applyNumberFormat="1" applyFont="1" applyFill="1" applyBorder="1" applyAlignment="1">
      <alignment horizontal="center" vertical="center"/>
    </xf>
    <xf numFmtId="1" fontId="37" fillId="5" borderId="26" xfId="0" applyNumberFormat="1" applyFont="1" applyFill="1" applyBorder="1" applyAlignment="1">
      <alignment horizontal="center" vertical="center"/>
    </xf>
    <xf numFmtId="166" fontId="37" fillId="5" borderId="26" xfId="0" applyNumberFormat="1" applyFont="1" applyFill="1" applyBorder="1" applyAlignment="1">
      <alignment horizontal="center" vertical="center"/>
    </xf>
    <xf numFmtId="2" fontId="37" fillId="5" borderId="26" xfId="0" applyNumberFormat="1" applyFont="1" applyFill="1" applyBorder="1" applyAlignment="1">
      <alignment horizontal="center" vertical="center"/>
    </xf>
    <xf numFmtId="2" fontId="17" fillId="7" borderId="27" xfId="0" applyNumberFormat="1" applyFont="1" applyFill="1" applyBorder="1" applyAlignment="1">
      <alignment horizontal="center" vertical="center"/>
    </xf>
    <xf numFmtId="0" fontId="13" fillId="0" borderId="28" xfId="0" applyFont="1" applyFill="1" applyBorder="1" applyAlignment="1" applyProtection="1">
      <alignment vertical="center" wrapText="1"/>
      <protection locked="0"/>
    </xf>
    <xf numFmtId="0" fontId="13" fillId="0" borderId="14" xfId="0" applyFont="1" applyFill="1" applyBorder="1" applyAlignment="1" applyProtection="1">
      <alignment vertical="center" wrapText="1"/>
      <protection locked="0"/>
    </xf>
    <xf numFmtId="0" fontId="13" fillId="0" borderId="26" xfId="0" applyFont="1" applyFill="1" applyBorder="1" applyAlignment="1" applyProtection="1">
      <alignment vertical="center" wrapText="1"/>
      <protection locked="0"/>
    </xf>
    <xf numFmtId="0" fontId="14" fillId="0" borderId="32"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14" fillId="4" borderId="37"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3" fillId="0" borderId="37" xfId="0" applyFont="1" applyBorder="1" applyAlignment="1" applyProtection="1">
      <alignment horizontal="center" vertical="center"/>
      <protection locked="0"/>
    </xf>
    <xf numFmtId="164" fontId="13" fillId="0" borderId="38" xfId="0" applyNumberFormat="1"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NumberFormat="1" applyFont="1" applyBorder="1" applyAlignment="1" applyProtection="1">
      <alignment horizontal="center" vertical="center"/>
      <protection locked="0"/>
    </xf>
    <xf numFmtId="0" fontId="14" fillId="4" borderId="25" xfId="0" applyFont="1" applyFill="1" applyBorder="1" applyAlignment="1">
      <alignment horizontal="center" vertical="center" wrapText="1"/>
    </xf>
    <xf numFmtId="166" fontId="0" fillId="0" borderId="29" xfId="0" applyNumberFormat="1" applyFont="1" applyFill="1" applyBorder="1" applyAlignment="1" applyProtection="1">
      <alignment horizontal="center" vertical="center" wrapText="1"/>
      <protection locked="0"/>
    </xf>
    <xf numFmtId="166" fontId="0" fillId="0" borderId="30" xfId="0" applyNumberFormat="1" applyFont="1" applyFill="1" applyBorder="1" applyAlignment="1" applyProtection="1">
      <alignment horizontal="center" vertical="center"/>
      <protection locked="0"/>
    </xf>
    <xf numFmtId="166" fontId="0" fillId="5" borderId="30" xfId="0" applyNumberFormat="1" applyFont="1" applyFill="1" applyBorder="1" applyAlignment="1" applyProtection="1">
      <alignment horizontal="center" vertical="center"/>
    </xf>
    <xf numFmtId="166" fontId="0" fillId="0" borderId="31" xfId="0" applyNumberFormat="1" applyFont="1" applyFill="1" applyBorder="1" applyAlignment="1" applyProtection="1">
      <alignment horizontal="center" vertical="center" wrapText="1"/>
      <protection locked="0"/>
    </xf>
    <xf numFmtId="2" fontId="19" fillId="5" borderId="36" xfId="0" applyNumberFormat="1" applyFont="1" applyFill="1" applyBorder="1" applyAlignment="1">
      <alignment horizontal="center" vertical="center"/>
    </xf>
    <xf numFmtId="2" fontId="19" fillId="5" borderId="35" xfId="0" applyNumberFormat="1" applyFont="1" applyFill="1" applyBorder="1" applyAlignment="1">
      <alignment horizontal="center" vertical="center"/>
    </xf>
    <xf numFmtId="2" fontId="19" fillId="5" borderId="34" xfId="0" applyNumberFormat="1" applyFont="1" applyFill="1" applyBorder="1" applyAlignment="1">
      <alignment horizontal="center" vertical="center"/>
    </xf>
    <xf numFmtId="0" fontId="29" fillId="0" borderId="0" xfId="0" applyFont="1" applyFill="1" applyBorder="1" applyAlignment="1" applyProtection="1">
      <alignment vertical="top"/>
    </xf>
    <xf numFmtId="2" fontId="29" fillId="0" borderId="0" xfId="0" applyNumberFormat="1" applyFont="1" applyFill="1" applyBorder="1" applyAlignment="1" applyProtection="1">
      <alignment vertical="top"/>
    </xf>
    <xf numFmtId="0" fontId="32" fillId="0" borderId="0" xfId="0" applyFont="1" applyFill="1" applyBorder="1" applyAlignment="1" applyProtection="1">
      <alignment vertical="top"/>
    </xf>
    <xf numFmtId="0" fontId="3" fillId="0" borderId="0" xfId="1" applyFont="1" applyFill="1" applyBorder="1" applyAlignment="1" applyProtection="1">
      <alignment vertical="center"/>
    </xf>
    <xf numFmtId="0" fontId="29" fillId="0" borderId="0" xfId="0" applyFont="1" applyFill="1" applyBorder="1" applyAlignment="1" applyProtection="1">
      <alignment vertical="center"/>
    </xf>
    <xf numFmtId="164" fontId="29" fillId="0" borderId="0" xfId="0" applyNumberFormat="1" applyFont="1" applyFill="1" applyBorder="1" applyAlignment="1" applyProtection="1">
      <alignment vertical="top"/>
    </xf>
    <xf numFmtId="164" fontId="29" fillId="5" borderId="0" xfId="0" applyNumberFormat="1" applyFont="1" applyFill="1" applyBorder="1" applyAlignment="1" applyProtection="1">
      <alignment vertical="top"/>
    </xf>
    <xf numFmtId="2" fontId="29" fillId="5" borderId="0" xfId="0" applyNumberFormat="1" applyFont="1" applyFill="1" applyBorder="1" applyAlignment="1" applyProtection="1">
      <alignment vertical="top"/>
    </xf>
    <xf numFmtId="2" fontId="29" fillId="0" borderId="0" xfId="0" applyNumberFormat="1" applyFont="1" applyFill="1" applyBorder="1" applyAlignment="1" applyProtection="1">
      <alignment vertical="center"/>
    </xf>
    <xf numFmtId="0" fontId="32" fillId="0" borderId="0" xfId="0" applyFont="1" applyFill="1" applyBorder="1" applyAlignment="1" applyProtection="1">
      <alignment vertical="center"/>
    </xf>
    <xf numFmtId="0" fontId="25" fillId="0" borderId="24" xfId="3" applyFont="1" applyFill="1" applyBorder="1" applyAlignment="1" applyProtection="1">
      <alignment vertical="center"/>
    </xf>
    <xf numFmtId="2" fontId="8" fillId="0" borderId="30" xfId="0" applyNumberFormat="1" applyFont="1" applyFill="1" applyBorder="1" applyAlignment="1" applyProtection="1">
      <alignment horizontal="center" vertical="center"/>
      <protection locked="0"/>
    </xf>
    <xf numFmtId="0" fontId="45" fillId="0" borderId="0" xfId="0" applyFont="1" applyAlignment="1">
      <alignment horizontal="center" vertical="center"/>
    </xf>
    <xf numFmtId="0" fontId="3" fillId="0" borderId="23" xfId="1" applyFont="1" applyBorder="1" applyAlignment="1" applyProtection="1">
      <alignment horizontal="left"/>
    </xf>
    <xf numFmtId="0" fontId="3" fillId="0" borderId="14" xfId="1" applyFont="1" applyBorder="1" applyAlignment="1" applyProtection="1">
      <alignment horizontal="left"/>
    </xf>
    <xf numFmtId="0" fontId="3" fillId="6" borderId="14" xfId="1" applyFont="1" applyFill="1" applyBorder="1" applyAlignment="1" applyProtection="1">
      <alignment horizontal="left" vertical="center" wrapText="1"/>
    </xf>
    <xf numFmtId="164" fontId="3" fillId="6" borderId="14" xfId="1" applyNumberFormat="1" applyFill="1" applyBorder="1" applyAlignment="1" applyProtection="1">
      <alignment horizontal="center" vertical="center"/>
    </xf>
    <xf numFmtId="166" fontId="3" fillId="6" borderId="14" xfId="1" applyNumberFormat="1" applyFill="1" applyBorder="1" applyAlignment="1" applyProtection="1">
      <alignment horizontal="center" vertical="center"/>
    </xf>
    <xf numFmtId="0" fontId="3" fillId="6" borderId="14" xfId="1" applyFill="1" applyBorder="1" applyAlignment="1" applyProtection="1">
      <alignment horizontal="center" vertical="center"/>
    </xf>
    <xf numFmtId="2" fontId="3" fillId="6" borderId="14" xfId="1" applyNumberFormat="1" applyFill="1" applyBorder="1" applyAlignment="1" applyProtection="1">
      <alignment horizontal="center" vertical="center"/>
    </xf>
    <xf numFmtId="0" fontId="3" fillId="0" borderId="24" xfId="1" applyFont="1" applyFill="1" applyBorder="1" applyAlignment="1" applyProtection="1">
      <alignment horizontal="center" vertical="center" wrapText="1"/>
    </xf>
    <xf numFmtId="0" fontId="31" fillId="0" borderId="23" xfId="1" applyFont="1" applyBorder="1" applyAlignment="1" applyProtection="1">
      <alignment horizontal="left" vertical="center"/>
    </xf>
    <xf numFmtId="0" fontId="31" fillId="0" borderId="14" xfId="1" applyFont="1" applyBorder="1" applyAlignment="1" applyProtection="1">
      <alignment horizontal="left" vertical="center"/>
    </xf>
    <xf numFmtId="0" fontId="3" fillId="0" borderId="14" xfId="1" applyFill="1" applyBorder="1" applyAlignment="1" applyProtection="1">
      <alignment horizontal="left" vertical="top" wrapText="1"/>
    </xf>
    <xf numFmtId="164" fontId="3" fillId="0" borderId="14" xfId="1" applyNumberFormat="1" applyFill="1" applyBorder="1" applyAlignment="1" applyProtection="1">
      <alignment horizontal="center"/>
    </xf>
    <xf numFmtId="164" fontId="3" fillId="5" borderId="14" xfId="1" applyNumberFormat="1" applyFill="1" applyBorder="1" applyAlignment="1" applyProtection="1">
      <alignment horizontal="center" vertical="center"/>
    </xf>
    <xf numFmtId="166" fontId="3" fillId="5" borderId="14" xfId="1" applyNumberFormat="1" applyFill="1" applyBorder="1" applyAlignment="1" applyProtection="1">
      <alignment horizontal="center" vertical="center"/>
    </xf>
    <xf numFmtId="0" fontId="3" fillId="5" borderId="14" xfId="1" applyFill="1" applyBorder="1" applyAlignment="1" applyProtection="1">
      <alignment horizontal="center"/>
    </xf>
    <xf numFmtId="0" fontId="3" fillId="0" borderId="14" xfId="1" applyFill="1" applyBorder="1" applyAlignment="1" applyProtection="1">
      <alignment horizontal="center"/>
    </xf>
    <xf numFmtId="0" fontId="3" fillId="0" borderId="14" xfId="1" applyFill="1" applyBorder="1" applyAlignment="1" applyProtection="1">
      <alignment horizontal="left" wrapText="1"/>
    </xf>
    <xf numFmtId="0" fontId="3" fillId="0" borderId="23"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4" xfId="1" applyFill="1" applyBorder="1" applyAlignment="1" applyProtection="1">
      <alignment horizontal="left" vertical="center" wrapText="1"/>
    </xf>
    <xf numFmtId="164" fontId="3" fillId="0" borderId="14" xfId="1" applyNumberFormat="1" applyBorder="1" applyAlignment="1" applyProtection="1">
      <alignment horizontal="center" vertical="center"/>
    </xf>
    <xf numFmtId="2" fontId="3" fillId="0" borderId="14" xfId="1" applyNumberFormat="1" applyFill="1" applyBorder="1" applyAlignment="1" applyProtection="1">
      <alignment horizontal="center" vertical="center"/>
    </xf>
    <xf numFmtId="0" fontId="3" fillId="0" borderId="14" xfId="1" applyBorder="1" applyAlignment="1" applyProtection="1">
      <alignment horizontal="center"/>
    </xf>
    <xf numFmtId="0" fontId="3" fillId="0" borderId="24" xfId="1" applyFill="1" applyBorder="1" applyAlignment="1" applyProtection="1">
      <alignment horizontal="center" vertical="center" wrapText="1"/>
    </xf>
    <xf numFmtId="0" fontId="0" fillId="0" borderId="14" xfId="0" applyFont="1" applyFill="1" applyBorder="1" applyAlignment="1" applyProtection="1">
      <alignment horizontal="left" vertical="center" wrapText="1"/>
    </xf>
    <xf numFmtId="164" fontId="0" fillId="0" borderId="14" xfId="0" applyNumberFormat="1" applyFill="1" applyBorder="1" applyAlignment="1" applyProtection="1">
      <alignment horizontal="center" vertical="center"/>
    </xf>
    <xf numFmtId="164" fontId="0" fillId="5" borderId="14" xfId="0" applyNumberFormat="1" applyFill="1" applyBorder="1" applyAlignment="1" applyProtection="1">
      <alignment horizontal="center" vertical="center"/>
    </xf>
    <xf numFmtId="166" fontId="0" fillId="5" borderId="14" xfId="0" applyNumberFormat="1" applyFill="1" applyBorder="1" applyAlignment="1" applyProtection="1">
      <alignment horizontal="center" vertical="center"/>
    </xf>
    <xf numFmtId="0" fontId="0" fillId="5" borderId="14" xfId="0" applyFill="1" applyBorder="1" applyAlignment="1" applyProtection="1">
      <alignment horizontal="center" vertical="center"/>
    </xf>
    <xf numFmtId="2" fontId="0" fillId="0" borderId="14" xfId="0" applyNumberFormat="1" applyFill="1" applyBorder="1" applyAlignment="1" applyProtection="1">
      <alignment horizontal="center" vertical="center"/>
    </xf>
    <xf numFmtId="0" fontId="0" fillId="0" borderId="24" xfId="0" applyFont="1" applyFill="1" applyBorder="1" applyAlignment="1" applyProtection="1">
      <alignment horizontal="center" vertical="center" wrapText="1"/>
    </xf>
    <xf numFmtId="0" fontId="3" fillId="0" borderId="14" xfId="1" applyFont="1" applyFill="1" applyBorder="1" applyAlignment="1" applyProtection="1">
      <alignment horizontal="left" vertical="center" wrapText="1"/>
    </xf>
    <xf numFmtId="164" fontId="3" fillId="0" borderId="14" xfId="1" applyNumberFormat="1" applyFill="1" applyBorder="1" applyAlignment="1" applyProtection="1">
      <alignment horizontal="center" vertical="center"/>
    </xf>
    <xf numFmtId="0" fontId="3" fillId="5" borderId="14" xfId="1" applyFill="1" applyBorder="1" applyAlignment="1" applyProtection="1">
      <alignment horizontal="center" vertical="center"/>
    </xf>
    <xf numFmtId="2" fontId="3" fillId="0" borderId="14" xfId="1" applyNumberFormat="1" applyBorder="1" applyAlignment="1" applyProtection="1">
      <alignment horizontal="center" vertical="center"/>
    </xf>
    <xf numFmtId="0" fontId="3" fillId="0" borderId="14" xfId="1" applyBorder="1" applyAlignment="1" applyProtection="1">
      <alignment horizontal="center" vertical="center"/>
    </xf>
    <xf numFmtId="0" fontId="31" fillId="0" borderId="25" xfId="1" applyFont="1" applyBorder="1" applyAlignment="1" applyProtection="1">
      <alignment horizontal="left" vertical="center"/>
    </xf>
    <xf numFmtId="0" fontId="31" fillId="0" borderId="26" xfId="1" applyFont="1" applyBorder="1" applyAlignment="1" applyProtection="1">
      <alignment horizontal="left" vertical="center"/>
    </xf>
    <xf numFmtId="2" fontId="3" fillId="0" borderId="14" xfId="1" applyNumberFormat="1" applyBorder="1"/>
    <xf numFmtId="0" fontId="33" fillId="0" borderId="0" xfId="1" applyFont="1" applyFill="1" applyAlignment="1" applyProtection="1">
      <alignment vertical="center"/>
    </xf>
    <xf numFmtId="0" fontId="5" fillId="0" borderId="0" xfId="1" applyFont="1" applyFill="1" applyAlignment="1" applyProtection="1">
      <alignment vertical="center"/>
    </xf>
    <xf numFmtId="0" fontId="3" fillId="0" borderId="0" xfId="1" applyFill="1" applyProtection="1"/>
    <xf numFmtId="2" fontId="5" fillId="0" borderId="0" xfId="1" applyNumberFormat="1" applyFont="1" applyFill="1" applyAlignment="1" applyProtection="1">
      <alignment vertical="center"/>
    </xf>
    <xf numFmtId="2" fontId="3" fillId="0" borderId="0" xfId="1" applyNumberFormat="1" applyFill="1" applyProtection="1"/>
    <xf numFmtId="0" fontId="13" fillId="4" borderId="44" xfId="0" applyFont="1" applyFill="1" applyBorder="1" applyAlignment="1" applyProtection="1">
      <alignment horizontal="center" vertical="center" wrapText="1"/>
    </xf>
    <xf numFmtId="0" fontId="13" fillId="4" borderId="47" xfId="0" applyFont="1" applyFill="1" applyBorder="1" applyAlignment="1" applyProtection="1">
      <alignment horizontal="center" vertical="center" wrapText="1"/>
    </xf>
    <xf numFmtId="0" fontId="13" fillId="4" borderId="45" xfId="0" applyFont="1" applyFill="1" applyBorder="1" applyAlignment="1" applyProtection="1">
      <alignment horizontal="center" vertical="center" wrapText="1"/>
    </xf>
    <xf numFmtId="0" fontId="3" fillId="0" borderId="0" xfId="1" applyAlignment="1" applyProtection="1">
      <alignment horizontal="center" vertical="center"/>
    </xf>
    <xf numFmtId="0" fontId="3" fillId="0" borderId="0" xfId="1" applyProtection="1"/>
    <xf numFmtId="164" fontId="3" fillId="0" borderId="23" xfId="1" applyNumberFormat="1" applyBorder="1" applyProtection="1"/>
    <xf numFmtId="164" fontId="3" fillId="0" borderId="14" xfId="1" applyNumberFormat="1" applyBorder="1" applyProtection="1"/>
    <xf numFmtId="2" fontId="3" fillId="0" borderId="14" xfId="1" applyNumberFormat="1" applyBorder="1" applyProtection="1"/>
    <xf numFmtId="0" fontId="3" fillId="0" borderId="14" xfId="1" applyBorder="1" applyProtection="1"/>
    <xf numFmtId="0" fontId="3" fillId="0" borderId="23" xfId="1" applyBorder="1" applyProtection="1"/>
    <xf numFmtId="2" fontId="3" fillId="5" borderId="14" xfId="1" applyNumberFormat="1" applyFill="1" applyBorder="1" applyProtection="1"/>
    <xf numFmtId="164" fontId="3" fillId="5" borderId="14" xfId="1" applyNumberFormat="1" applyFill="1" applyBorder="1" applyProtection="1"/>
    <xf numFmtId="0" fontId="3" fillId="0" borderId="24" xfId="1" applyBorder="1" applyProtection="1"/>
    <xf numFmtId="0" fontId="3" fillId="0" borderId="14" xfId="1" quotePrefix="1" applyBorder="1" applyProtection="1"/>
    <xf numFmtId="0" fontId="3" fillId="0" borderId="24" xfId="1" applyFill="1" applyBorder="1" applyProtection="1"/>
    <xf numFmtId="49" fontId="3" fillId="0" borderId="14" xfId="1" applyNumberFormat="1" applyBorder="1" applyProtection="1"/>
    <xf numFmtId="167" fontId="3" fillId="0" borderId="14" xfId="1" applyNumberFormat="1" applyBorder="1" applyProtection="1"/>
    <xf numFmtId="0" fontId="0" fillId="0" borderId="0" xfId="0" applyProtection="1"/>
    <xf numFmtId="0" fontId="0" fillId="0" borderId="14" xfId="0" applyBorder="1" applyProtection="1"/>
    <xf numFmtId="0" fontId="0" fillId="0" borderId="14" xfId="0" quotePrefix="1" applyBorder="1" applyProtection="1"/>
    <xf numFmtId="168" fontId="3" fillId="0" borderId="14" xfId="1" applyNumberFormat="1" applyBorder="1" applyProtection="1"/>
    <xf numFmtId="49" fontId="3" fillId="0" borderId="14" xfId="1" quotePrefix="1" applyNumberFormat="1" applyBorder="1" applyProtection="1"/>
    <xf numFmtId="0" fontId="3" fillId="0" borderId="0" xfId="1" applyBorder="1" applyProtection="1"/>
    <xf numFmtId="164" fontId="3" fillId="5" borderId="26" xfId="1" applyNumberFormat="1" applyFill="1" applyBorder="1" applyAlignment="1" applyProtection="1">
      <alignment horizontal="center" vertical="center"/>
    </xf>
    <xf numFmtId="166" fontId="3" fillId="5" borderId="26" xfId="1" applyNumberFormat="1" applyFill="1" applyBorder="1" applyAlignment="1" applyProtection="1">
      <alignment horizontal="center" vertical="center"/>
    </xf>
    <xf numFmtId="0" fontId="3" fillId="5" borderId="26" xfId="1" applyFill="1" applyBorder="1" applyAlignment="1" applyProtection="1">
      <alignment horizontal="center"/>
    </xf>
    <xf numFmtId="0" fontId="3" fillId="0" borderId="25" xfId="1" applyBorder="1" applyProtection="1"/>
    <xf numFmtId="0" fontId="3" fillId="0" borderId="26" xfId="1" applyBorder="1" applyProtection="1"/>
    <xf numFmtId="2" fontId="3" fillId="5" borderId="26" xfId="1" applyNumberFormat="1" applyFill="1" applyBorder="1" applyProtection="1"/>
    <xf numFmtId="2" fontId="3" fillId="5" borderId="0" xfId="1" applyNumberFormat="1" applyFill="1" applyProtection="1"/>
    <xf numFmtId="2" fontId="3" fillId="0" borderId="0" xfId="1" applyNumberFormat="1" applyProtection="1"/>
    <xf numFmtId="0" fontId="3" fillId="5" borderId="14" xfId="1" applyFont="1" applyFill="1" applyBorder="1" applyAlignment="1" applyProtection="1">
      <alignment horizontal="center"/>
    </xf>
    <xf numFmtId="0" fontId="3" fillId="0" borderId="24" xfId="1" applyFill="1" applyBorder="1" applyAlignment="1" applyProtection="1">
      <alignment horizontal="center" wrapText="1"/>
    </xf>
    <xf numFmtId="164" fontId="3" fillId="5" borderId="14" xfId="1" applyNumberFormat="1" applyFill="1" applyBorder="1" applyAlignment="1" applyProtection="1">
      <alignment horizontal="center"/>
    </xf>
    <xf numFmtId="0" fontId="3" fillId="0" borderId="14" xfId="1" applyFont="1" applyFill="1" applyBorder="1" applyAlignment="1" applyProtection="1">
      <alignment horizontal="center"/>
    </xf>
    <xf numFmtId="0" fontId="3" fillId="0" borderId="26" xfId="1" applyFill="1" applyBorder="1" applyAlignment="1" applyProtection="1">
      <alignment horizontal="left" wrapText="1"/>
    </xf>
    <xf numFmtId="164" fontId="3" fillId="0" borderId="26" xfId="1" applyNumberFormat="1" applyFill="1" applyBorder="1" applyAlignment="1" applyProtection="1">
      <alignment horizontal="center"/>
    </xf>
    <xf numFmtId="0" fontId="3" fillId="5" borderId="26" xfId="1" applyFont="1" applyFill="1" applyBorder="1" applyAlignment="1" applyProtection="1">
      <alignment horizontal="center"/>
    </xf>
    <xf numFmtId="0" fontId="3" fillId="0" borderId="26" xfId="1" applyFill="1" applyBorder="1" applyAlignment="1" applyProtection="1">
      <alignment horizontal="center"/>
    </xf>
    <xf numFmtId="0" fontId="3" fillId="0" borderId="27" xfId="1" applyFill="1" applyBorder="1" applyAlignment="1" applyProtection="1">
      <alignment horizontal="center" wrapText="1"/>
    </xf>
    <xf numFmtId="2" fontId="3" fillId="0" borderId="14" xfId="1" applyNumberFormat="1" applyFill="1" applyBorder="1" applyProtection="1"/>
    <xf numFmtId="13" fontId="3" fillId="0" borderId="14" xfId="1" applyNumberFormat="1" applyBorder="1" applyProtection="1"/>
    <xf numFmtId="49" fontId="5" fillId="0" borderId="0" xfId="1" applyNumberFormat="1" applyFont="1" applyFill="1" applyAlignment="1" applyProtection="1">
      <alignment vertical="center"/>
    </xf>
    <xf numFmtId="49" fontId="13" fillId="4" borderId="47" xfId="0" applyNumberFormat="1" applyFont="1" applyFill="1" applyBorder="1" applyAlignment="1" applyProtection="1">
      <alignment horizontal="center" vertical="center" wrapText="1"/>
    </xf>
    <xf numFmtId="49" fontId="3" fillId="0" borderId="0" xfId="1" applyNumberFormat="1" applyProtection="1"/>
    <xf numFmtId="13" fontId="0" fillId="0" borderId="14" xfId="0" applyNumberFormat="1" applyBorder="1" applyProtection="1"/>
    <xf numFmtId="13" fontId="3" fillId="0" borderId="14" xfId="1" quotePrefix="1" applyNumberFormat="1" applyBorder="1" applyProtection="1"/>
    <xf numFmtId="13" fontId="3" fillId="0" borderId="26" xfId="1" applyNumberFormat="1" applyBorder="1" applyProtection="1"/>
    <xf numFmtId="0" fontId="3" fillId="0" borderId="0" xfId="1" applyFill="1" applyBorder="1" applyProtection="1"/>
    <xf numFmtId="0" fontId="3" fillId="0" borderId="0" xfId="1" applyBorder="1" applyAlignment="1" applyProtection="1">
      <alignment horizontal="center" vertical="center"/>
    </xf>
    <xf numFmtId="0" fontId="3" fillId="0" borderId="10" xfId="1" applyBorder="1" applyProtection="1"/>
    <xf numFmtId="0" fontId="8" fillId="0" borderId="24" xfId="3" applyNumberFormat="1" applyFont="1" applyFill="1" applyBorder="1" applyAlignment="1" applyProtection="1">
      <alignment vertical="center"/>
    </xf>
    <xf numFmtId="0" fontId="1" fillId="4" borderId="44" xfId="0" applyFont="1" applyFill="1" applyBorder="1" applyAlignment="1" applyProtection="1">
      <alignment horizontal="center" vertical="center" wrapText="1"/>
    </xf>
    <xf numFmtId="0" fontId="1" fillId="4" borderId="45" xfId="0" applyFont="1" applyFill="1" applyBorder="1" applyAlignment="1" applyProtection="1">
      <alignment horizontal="center" vertical="center" wrapText="1"/>
    </xf>
    <xf numFmtId="0" fontId="0" fillId="0" borderId="23" xfId="0" applyFont="1" applyFill="1" applyBorder="1" applyAlignment="1" applyProtection="1">
      <alignment vertical="center"/>
    </xf>
    <xf numFmtId="0" fontId="0" fillId="0" borderId="24" xfId="0" applyFont="1" applyFill="1" applyBorder="1" applyAlignment="1" applyProtection="1">
      <alignment vertical="center"/>
    </xf>
    <xf numFmtId="0" fontId="8" fillId="0" borderId="24" xfId="0" applyNumberFormat="1" applyFont="1" applyFill="1" applyBorder="1" applyAlignment="1" applyProtection="1">
      <alignment vertical="center"/>
    </xf>
    <xf numFmtId="0" fontId="8" fillId="0" borderId="23" xfId="1" applyFont="1" applyFill="1" applyBorder="1" applyAlignment="1" applyProtection="1">
      <alignment vertical="center"/>
    </xf>
    <xf numFmtId="0" fontId="49" fillId="0" borderId="0" xfId="0" applyFont="1" applyFill="1" applyBorder="1" applyAlignment="1" applyProtection="1">
      <alignment vertical="center"/>
    </xf>
    <xf numFmtId="0" fontId="50" fillId="0" borderId="0" xfId="1" applyFont="1" applyFill="1" applyBorder="1" applyAlignment="1" applyProtection="1">
      <alignment vertical="center"/>
    </xf>
    <xf numFmtId="0" fontId="0" fillId="0" borderId="25" xfId="0" applyFont="1" applyFill="1" applyBorder="1" applyAlignment="1" applyProtection="1">
      <alignment vertical="center"/>
    </xf>
    <xf numFmtId="0" fontId="8" fillId="0" borderId="27" xfId="1" applyFont="1" applyFill="1" applyBorder="1" applyAlignment="1" applyProtection="1">
      <alignment vertical="center"/>
    </xf>
    <xf numFmtId="0" fontId="8" fillId="0" borderId="27" xfId="1" applyNumberFormat="1" applyFont="1" applyFill="1" applyBorder="1" applyAlignment="1" applyProtection="1">
      <alignment vertical="center"/>
    </xf>
    <xf numFmtId="0" fontId="44" fillId="0" borderId="0" xfId="3" applyFont="1" applyFill="1" applyBorder="1" applyAlignment="1" applyProtection="1">
      <alignment vertical="top"/>
    </xf>
    <xf numFmtId="0" fontId="14" fillId="0" borderId="0" xfId="0" applyFont="1" applyFill="1" applyBorder="1" applyAlignment="1" applyProtection="1">
      <alignment vertical="top"/>
    </xf>
    <xf numFmtId="0" fontId="13" fillId="0" borderId="0" xfId="0" applyFont="1" applyFill="1" applyBorder="1" applyAlignment="1" applyProtection="1">
      <alignment vertical="center"/>
    </xf>
    <xf numFmtId="0" fontId="37" fillId="0" borderId="0" xfId="1" applyFont="1" applyFill="1" applyBorder="1" applyAlignment="1" applyProtection="1">
      <alignment vertical="center"/>
    </xf>
    <xf numFmtId="0" fontId="13" fillId="0" borderId="0" xfId="0" applyFont="1" applyFill="1" applyBorder="1" applyAlignment="1" applyProtection="1">
      <alignment vertical="top"/>
    </xf>
    <xf numFmtId="2" fontId="13" fillId="0" borderId="0" xfId="0" applyNumberFormat="1" applyFont="1" applyFill="1" applyBorder="1" applyAlignment="1" applyProtection="1">
      <alignment vertical="top"/>
    </xf>
    <xf numFmtId="0" fontId="14" fillId="4" borderId="0" xfId="0" applyFont="1" applyFill="1" applyBorder="1" applyAlignment="1" applyProtection="1">
      <alignment vertical="top"/>
    </xf>
    <xf numFmtId="0" fontId="13" fillId="4" borderId="0" xfId="0" applyFont="1" applyFill="1" applyBorder="1" applyAlignment="1" applyProtection="1">
      <alignment vertical="top"/>
    </xf>
    <xf numFmtId="0" fontId="37" fillId="4" borderId="0" xfId="1" applyFont="1" applyFill="1" applyBorder="1" applyAlignment="1" applyProtection="1">
      <alignment vertical="top"/>
    </xf>
    <xf numFmtId="0" fontId="37" fillId="0" borderId="6" xfId="1" applyFont="1" applyFill="1" applyBorder="1" applyAlignment="1" applyProtection="1">
      <alignment horizontal="left" wrapText="1"/>
    </xf>
    <xf numFmtId="0" fontId="37" fillId="0" borderId="0" xfId="1" applyFont="1" applyFill="1" applyBorder="1" applyAlignment="1" applyProtection="1">
      <alignment horizontal="left" vertical="top"/>
    </xf>
    <xf numFmtId="0" fontId="0" fillId="0" borderId="0" xfId="0" applyFont="1" applyFill="1" applyBorder="1" applyAlignment="1" applyProtection="1">
      <alignment vertical="top"/>
    </xf>
    <xf numFmtId="0" fontId="0" fillId="0" borderId="0" xfId="0" applyFont="1" applyFill="1" applyBorder="1" applyAlignment="1" applyProtection="1">
      <alignment vertical="center"/>
    </xf>
    <xf numFmtId="0" fontId="8" fillId="0" borderId="0" xfId="1" applyFont="1" applyFill="1" applyBorder="1" applyAlignment="1" applyProtection="1">
      <alignment vertical="center"/>
    </xf>
    <xf numFmtId="0" fontId="13" fillId="0" borderId="0" xfId="0" applyFont="1" applyAlignment="1">
      <alignment horizontal="center"/>
    </xf>
    <xf numFmtId="0" fontId="24" fillId="0" borderId="0" xfId="0" applyFont="1" applyAlignment="1">
      <alignment horizontal="center"/>
    </xf>
    <xf numFmtId="0" fontId="20" fillId="0" borderId="13" xfId="0" applyFont="1" applyBorder="1" applyAlignment="1">
      <alignment horizontal="center"/>
    </xf>
    <xf numFmtId="0" fontId="18" fillId="0" borderId="7" xfId="0" applyFont="1" applyBorder="1" applyAlignment="1">
      <alignment horizontal="center"/>
    </xf>
    <xf numFmtId="0" fontId="18" fillId="0" borderId="12" xfId="0" applyFont="1" applyBorder="1" applyAlignment="1">
      <alignment horizontal="center"/>
    </xf>
    <xf numFmtId="0" fontId="18" fillId="0" borderId="8" xfId="0" applyFont="1" applyBorder="1" applyAlignment="1">
      <alignment horizontal="center"/>
    </xf>
    <xf numFmtId="0" fontId="14" fillId="0" borderId="1" xfId="0" applyFont="1" applyBorder="1" applyAlignment="1">
      <alignment horizontal="center"/>
    </xf>
    <xf numFmtId="0" fontId="13" fillId="4" borderId="13" xfId="0" applyFont="1" applyFill="1" applyBorder="1" applyAlignment="1">
      <alignment horizontal="center" vertical="center" wrapText="1"/>
    </xf>
    <xf numFmtId="0" fontId="14" fillId="0" borderId="0" xfId="0" applyFont="1" applyAlignment="1" applyProtection="1">
      <alignment horizontal="center"/>
      <protection locked="0"/>
    </xf>
    <xf numFmtId="0" fontId="14" fillId="0" borderId="0" xfId="0" applyFont="1" applyBorder="1" applyAlignment="1" applyProtection="1">
      <alignment horizontal="center"/>
      <protection locked="0"/>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46" fillId="0" borderId="0" xfId="0" applyFont="1" applyBorder="1" applyAlignment="1">
      <alignment horizontal="center"/>
    </xf>
    <xf numFmtId="0" fontId="1" fillId="4" borderId="46"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41" fillId="4" borderId="40" xfId="0" applyFont="1" applyFill="1" applyBorder="1" applyAlignment="1">
      <alignment horizontal="center" vertical="center" wrapText="1"/>
    </xf>
    <xf numFmtId="0" fontId="41" fillId="4" borderId="41" xfId="0" applyFont="1" applyFill="1" applyBorder="1" applyAlignment="1">
      <alignment horizontal="center" vertical="center" wrapText="1"/>
    </xf>
    <xf numFmtId="0" fontId="41" fillId="4" borderId="4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40" fillId="0" borderId="0"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xf>
  </cellXfs>
  <cellStyles count="4">
    <cellStyle name="Lien hypertexte" xfId="3" builtinId="8"/>
    <cellStyle name="Normal" xfId="0" builtinId="0"/>
    <cellStyle name="Normal 2" xfId="1"/>
    <cellStyle name="Pourcentage" xfId="2" builtinId="5"/>
  </cellStyles>
  <dxfs count="25">
    <dxf>
      <font>
        <condense val="0"/>
        <extend val="0"/>
        <color indexed="8"/>
      </font>
      <fill>
        <patternFill>
          <bgColor indexed="11"/>
        </patternFill>
      </fill>
    </dxf>
    <dxf>
      <font>
        <condense val="0"/>
        <extend val="0"/>
        <color indexed="13"/>
      </font>
      <fill>
        <patternFill>
          <bgColor indexed="10"/>
        </patternFill>
      </fill>
    </dxf>
    <dxf>
      <font>
        <color rgb="FFFF0000"/>
      </font>
    </dxf>
    <dxf>
      <fill>
        <patternFill>
          <bgColor rgb="FF00B050"/>
        </patternFill>
      </fill>
    </dxf>
    <dxf>
      <font>
        <b/>
        <i val="0"/>
        <color rgb="FFC00000"/>
      </font>
    </dxf>
    <dxf>
      <font>
        <condense val="0"/>
        <extend val="0"/>
        <color indexed="8"/>
      </font>
      <fill>
        <patternFill>
          <bgColor indexed="11"/>
        </patternFill>
      </fill>
    </dxf>
    <dxf>
      <font>
        <condense val="0"/>
        <extend val="0"/>
        <color indexed="13"/>
      </font>
      <fill>
        <patternFill>
          <bgColor indexed="10"/>
        </patternFill>
      </fill>
    </dxf>
    <dxf>
      <font>
        <color rgb="FFFF0000"/>
      </font>
    </dxf>
    <dxf>
      <fill>
        <patternFill>
          <bgColor rgb="FF00B050"/>
        </patternFill>
      </fill>
    </dxf>
    <dxf>
      <font>
        <b/>
        <i val="0"/>
        <color rgb="FFC00000"/>
      </font>
    </dxf>
    <dxf>
      <font>
        <b/>
        <i val="0"/>
        <color rgb="FFC00000"/>
      </font>
    </dxf>
    <dxf>
      <fill>
        <patternFill>
          <bgColor rgb="FF00B050"/>
        </patternFill>
      </fill>
    </dxf>
    <dxf>
      <font>
        <b/>
        <i val="0"/>
        <color rgb="FFC00000"/>
      </font>
    </dxf>
    <dxf>
      <fill>
        <patternFill>
          <bgColor rgb="FF00B05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strike val="0"/>
        <color rgb="FFFF0000"/>
      </font>
      <fill>
        <patternFill patternType="none">
          <bgColor auto="1"/>
        </patternFill>
      </fill>
    </dxf>
    <dxf>
      <font>
        <condense val="0"/>
        <extend val="0"/>
        <color indexed="8"/>
      </font>
      <fill>
        <patternFill>
          <bgColor indexed="11"/>
        </patternFill>
      </fill>
    </dxf>
    <dxf>
      <font>
        <condense val="0"/>
        <extend val="0"/>
        <color indexed="13"/>
      </font>
      <fill>
        <patternFill>
          <bgColor indexed="10"/>
        </patternFill>
      </fill>
    </dxf>
  </dxfs>
  <tableStyles count="0" defaultTableStyle="TableStyleMedium2" defaultPivotStyle="PivotStyleLight16"/>
  <colors>
    <mruColors>
      <color rgb="FFFFFFCC"/>
      <color rgb="FF00FF00"/>
      <color rgb="FFCC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58061</xdr:colOff>
      <xdr:row>0</xdr:row>
      <xdr:rowOff>47626</xdr:rowOff>
    </xdr:from>
    <xdr:to>
      <xdr:col>2</xdr:col>
      <xdr:colOff>910771</xdr:colOff>
      <xdr:row>6</xdr:row>
      <xdr:rowOff>47625</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461" y="47626"/>
          <a:ext cx="1005110" cy="1114424"/>
        </a:xfrm>
        <a:prstGeom prst="rect">
          <a:avLst/>
        </a:prstGeom>
      </xdr:spPr>
    </xdr:pic>
    <xdr:clientData/>
  </xdr:twoCellAnchor>
  <xdr:twoCellAnchor>
    <xdr:from>
      <xdr:col>8</xdr:col>
      <xdr:colOff>28575</xdr:colOff>
      <xdr:row>57</xdr:row>
      <xdr:rowOff>38101</xdr:rowOff>
    </xdr:from>
    <xdr:to>
      <xdr:col>8</xdr:col>
      <xdr:colOff>542925</xdr:colOff>
      <xdr:row>60</xdr:row>
      <xdr:rowOff>28576</xdr:rowOff>
    </xdr:to>
    <xdr:sp macro="" textlink="">
      <xdr:nvSpPr>
        <xdr:cNvPr id="2" name="Flèche angle droit à deux pointes 1"/>
        <xdr:cNvSpPr/>
      </xdr:nvSpPr>
      <xdr:spPr>
        <a:xfrm>
          <a:off x="5962650" y="7610476"/>
          <a:ext cx="514350" cy="476250"/>
        </a:xfrm>
        <a:prstGeom prst="leftUpArrow">
          <a:avLst>
            <a:gd name="adj1" fmla="val 4426"/>
            <a:gd name="adj2" fmla="val 20455"/>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271463</xdr:colOff>
      <xdr:row>57</xdr:row>
      <xdr:rowOff>28574</xdr:rowOff>
    </xdr:from>
    <xdr:to>
      <xdr:col>2</xdr:col>
      <xdr:colOff>752475</xdr:colOff>
      <xdr:row>60</xdr:row>
      <xdr:rowOff>38102</xdr:rowOff>
    </xdr:to>
    <xdr:sp macro="" textlink="">
      <xdr:nvSpPr>
        <xdr:cNvPr id="3" name="Flèche angle droit à deux pointes 2"/>
        <xdr:cNvSpPr/>
      </xdr:nvSpPr>
      <xdr:spPr>
        <a:xfrm rot="5400000">
          <a:off x="350042" y="8055770"/>
          <a:ext cx="628653" cy="481012"/>
        </a:xfrm>
        <a:prstGeom prst="leftUpArrow">
          <a:avLst>
            <a:gd name="adj1" fmla="val 5198"/>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58061</xdr:colOff>
      <xdr:row>1</xdr:row>
      <xdr:rowOff>47626</xdr:rowOff>
    </xdr:from>
    <xdr:to>
      <xdr:col>2</xdr:col>
      <xdr:colOff>301171</xdr:colOff>
      <xdr:row>5</xdr:row>
      <xdr:rowOff>144451</xdr:rowOff>
    </xdr:to>
    <xdr:pic>
      <xdr:nvPicPr>
        <xdr:cNvPr id="2" name="Imag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11" y="123826"/>
          <a:ext cx="1005110" cy="111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25401</xdr:colOff>
      <xdr:row>2</xdr:row>
      <xdr:rowOff>393699</xdr:rowOff>
    </xdr:from>
    <xdr:to>
      <xdr:col>16</xdr:col>
      <xdr:colOff>506413</xdr:colOff>
      <xdr:row>4</xdr:row>
      <xdr:rowOff>177804</xdr:rowOff>
    </xdr:to>
    <xdr:sp macro="" textlink="">
      <xdr:nvSpPr>
        <xdr:cNvPr id="8" name="Flèche angle droit à deux pointes 7"/>
        <xdr:cNvSpPr/>
      </xdr:nvSpPr>
      <xdr:spPr>
        <a:xfrm rot="16200000">
          <a:off x="11594304" y="1550196"/>
          <a:ext cx="736605" cy="481012"/>
        </a:xfrm>
        <a:prstGeom prst="leftUpArrow">
          <a:avLst>
            <a:gd name="adj1" fmla="val 5198"/>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rgbClr val="FF0000"/>
            </a:solidFill>
          </a:endParaRPr>
        </a:p>
      </xdr:txBody>
    </xdr:sp>
    <xdr:clientData/>
  </xdr:twoCellAnchor>
  <xdr:twoCellAnchor>
    <xdr:from>
      <xdr:col>9</xdr:col>
      <xdr:colOff>215900</xdr:colOff>
      <xdr:row>2</xdr:row>
      <xdr:rowOff>355600</xdr:rowOff>
    </xdr:from>
    <xdr:to>
      <xdr:col>9</xdr:col>
      <xdr:colOff>730250</xdr:colOff>
      <xdr:row>4</xdr:row>
      <xdr:rowOff>165100</xdr:rowOff>
    </xdr:to>
    <xdr:sp macro="" textlink="">
      <xdr:nvSpPr>
        <xdr:cNvPr id="9" name="Flèche angle droit à deux pointes 8"/>
        <xdr:cNvSpPr/>
      </xdr:nvSpPr>
      <xdr:spPr>
        <a:xfrm rot="10800000">
          <a:off x="7467600" y="1384300"/>
          <a:ext cx="514350" cy="762000"/>
        </a:xfrm>
        <a:prstGeom prst="leftUpArrow">
          <a:avLst>
            <a:gd name="adj1" fmla="val 4426"/>
            <a:gd name="adj2" fmla="val 20455"/>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85725</xdr:colOff>
      <xdr:row>0</xdr:row>
      <xdr:rowOff>66675</xdr:rowOff>
    </xdr:from>
    <xdr:to>
      <xdr:col>1</xdr:col>
      <xdr:colOff>1090835</xdr:colOff>
      <xdr:row>5</xdr:row>
      <xdr:rowOff>39675</xdr:rowOff>
    </xdr:to>
    <xdr:pic>
      <xdr:nvPicPr>
        <xdr:cNvPr id="4" name="Image 3"/>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66675"/>
          <a:ext cx="1005110" cy="111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58061</xdr:colOff>
      <xdr:row>1</xdr:row>
      <xdr:rowOff>47626</xdr:rowOff>
    </xdr:from>
    <xdr:to>
      <xdr:col>1</xdr:col>
      <xdr:colOff>1063171</xdr:colOff>
      <xdr:row>5</xdr:row>
      <xdr:rowOff>163501</xdr:rowOff>
    </xdr:to>
    <xdr:pic>
      <xdr:nvPicPr>
        <xdr:cNvPr id="3" name="Image 2"/>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461" y="123826"/>
          <a:ext cx="1005110" cy="1116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nitrostinger.com/" TargetMode="External"/><Relationship Id="rId13" Type="http://schemas.openxmlformats.org/officeDocument/2006/relationships/hyperlink" Target="http://beman.com/" TargetMode="External"/><Relationship Id="rId18" Type="http://schemas.openxmlformats.org/officeDocument/2006/relationships/drawing" Target="../drawings/drawing4.xml"/><Relationship Id="rId3" Type="http://schemas.openxmlformats.org/officeDocument/2006/relationships/hyperlink" Target="http://www.nitrostinger.com/" TargetMode="External"/><Relationship Id="rId7" Type="http://schemas.openxmlformats.org/officeDocument/2006/relationships/hyperlink" Target="http://www.carbonimpact.com/" TargetMode="External"/><Relationship Id="rId12" Type="http://schemas.openxmlformats.org/officeDocument/2006/relationships/hyperlink" Target="http://www.carbonexpressarrows.com/" TargetMode="External"/><Relationship Id="rId17" Type="http://schemas.openxmlformats.org/officeDocument/2006/relationships/printerSettings" Target="../printerSettings/printerSettings4.bin"/><Relationship Id="rId2" Type="http://schemas.openxmlformats.org/officeDocument/2006/relationships/hyperlink" Target="https://shop.bearpaw-products.com/" TargetMode="External"/><Relationship Id="rId16" Type="http://schemas.openxmlformats.org/officeDocument/2006/relationships/hyperlink" Target="http://www.carbontecharrows.com/" TargetMode="External"/><Relationship Id="rId1" Type="http://schemas.openxmlformats.org/officeDocument/2006/relationships/hyperlink" Target="http://aurel-archery.de/en/" TargetMode="External"/><Relationship Id="rId6" Type="http://schemas.openxmlformats.org/officeDocument/2006/relationships/hyperlink" Target="https://shop.bearpaw-products.com/" TargetMode="External"/><Relationship Id="rId11" Type="http://schemas.openxmlformats.org/officeDocument/2006/relationships/hyperlink" Target="http://www.eastonarchery.com/" TargetMode="External"/><Relationship Id="rId5" Type="http://schemas.openxmlformats.org/officeDocument/2006/relationships/hyperlink" Target="http://aurel-archery.de/en/" TargetMode="External"/><Relationship Id="rId15" Type="http://schemas.openxmlformats.org/officeDocument/2006/relationships/hyperlink" Target="http://www.winandwinblack.com/" TargetMode="External"/><Relationship Id="rId10" Type="http://schemas.openxmlformats.org/officeDocument/2006/relationships/hyperlink" Target="http://victoryarchery.com/" TargetMode="External"/><Relationship Id="rId4" Type="http://schemas.openxmlformats.org/officeDocument/2006/relationships/hyperlink" Target="http://www.carbonimpact.com/" TargetMode="External"/><Relationship Id="rId9" Type="http://schemas.openxmlformats.org/officeDocument/2006/relationships/hyperlink" Target="http://www.goldtip.com/" TargetMode="External"/><Relationship Id="rId14" Type="http://schemas.openxmlformats.org/officeDocument/2006/relationships/hyperlink" Target="http://www.byronferguson.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C3:I61"/>
  <sheetViews>
    <sheetView showGridLines="0" tabSelected="1" workbookViewId="0">
      <selection activeCell="D10" sqref="D10:E10"/>
    </sheetView>
  </sheetViews>
  <sheetFormatPr baseColWidth="10" defaultRowHeight="12.75" x14ac:dyDescent="0.2"/>
  <cols>
    <col min="1" max="2" width="2.28515625" style="11" customWidth="1"/>
    <col min="3" max="3" width="13.7109375" style="11" bestFit="1" customWidth="1"/>
    <col min="4" max="4" width="16.42578125" style="11" customWidth="1"/>
    <col min="5" max="9" width="13.7109375" style="11" customWidth="1"/>
    <col min="10" max="10" width="1.5703125" style="11" customWidth="1"/>
    <col min="11" max="16384" width="11.42578125" style="11"/>
  </cols>
  <sheetData>
    <row r="3" spans="3:9" ht="21" x14ac:dyDescent="0.35">
      <c r="D3" s="317" t="s">
        <v>266</v>
      </c>
      <c r="E3" s="317"/>
      <c r="F3" s="317"/>
      <c r="G3" s="317"/>
      <c r="H3" s="317"/>
      <c r="I3" s="317"/>
    </row>
    <row r="4" spans="3:9" x14ac:dyDescent="0.2">
      <c r="D4" s="316" t="s">
        <v>856</v>
      </c>
      <c r="E4" s="316"/>
      <c r="F4" s="316"/>
      <c r="G4" s="316"/>
      <c r="H4" s="316"/>
      <c r="I4" s="316"/>
    </row>
    <row r="6" spans="3:9" ht="15.75" x14ac:dyDescent="0.25">
      <c r="D6" s="316" t="s">
        <v>265</v>
      </c>
      <c r="E6" s="316"/>
      <c r="F6" s="316"/>
      <c r="G6" s="316"/>
      <c r="H6" s="316"/>
      <c r="I6" s="316"/>
    </row>
    <row r="8" spans="3:9" x14ac:dyDescent="0.2">
      <c r="C8" s="7" t="s">
        <v>94</v>
      </c>
      <c r="D8" s="8"/>
      <c r="E8" s="8"/>
      <c r="F8" s="9"/>
      <c r="G8" s="10"/>
      <c r="H8" s="10"/>
      <c r="I8" s="10"/>
    </row>
    <row r="9" spans="3:9" ht="28.5" x14ac:dyDescent="0.2">
      <c r="D9" s="323" t="s">
        <v>194</v>
      </c>
      <c r="E9" s="323"/>
      <c r="F9" s="12" t="s">
        <v>263</v>
      </c>
      <c r="G9" s="13" t="s">
        <v>264</v>
      </c>
      <c r="H9" s="12" t="s">
        <v>298</v>
      </c>
      <c r="I9" s="12" t="s">
        <v>101</v>
      </c>
    </row>
    <row r="10" spans="3:9" x14ac:dyDescent="0.2">
      <c r="D10" s="324" t="s">
        <v>245</v>
      </c>
      <c r="E10" s="324"/>
      <c r="F10" s="25">
        <v>170</v>
      </c>
      <c r="G10" s="25">
        <v>28</v>
      </c>
      <c r="H10" s="25">
        <v>38</v>
      </c>
      <c r="I10" s="14">
        <f>IF(OR(G50="",E14="",H10="",H20=""),"non calculable",$H$10*VLOOKUP(Param_DSC!$C$58,corde,2,FALSE)*VLOOKUP($E$14,Arc,2,FALSE)+(0.0006*$H$20^3+0.0425*$H$20^2-2.5475*$H$20+5.6107)-VLOOKUP(VLOOKUP(G50,shaft,6,FALSE),diam,2,FALSE))</f>
        <v>71.500500000000002</v>
      </c>
    </row>
    <row r="11" spans="3:9" ht="5.0999999999999996" customHeight="1" x14ac:dyDescent="0.2"/>
    <row r="12" spans="3:9" x14ac:dyDescent="0.2">
      <c r="C12" s="7" t="s">
        <v>31</v>
      </c>
      <c r="D12" s="10"/>
      <c r="E12" s="10"/>
      <c r="F12" s="10"/>
      <c r="G12" s="10"/>
      <c r="H12" s="10"/>
      <c r="I12" s="10"/>
    </row>
    <row r="13" spans="3:9" s="15" customFormat="1" ht="38.25" x14ac:dyDescent="0.25">
      <c r="D13" s="12" t="s">
        <v>20</v>
      </c>
      <c r="E13" s="12" t="s">
        <v>262</v>
      </c>
      <c r="F13" s="12" t="s">
        <v>223</v>
      </c>
      <c r="G13" s="12" t="s">
        <v>297</v>
      </c>
      <c r="H13" s="12" t="s">
        <v>207</v>
      </c>
      <c r="I13" s="12" t="s">
        <v>92</v>
      </c>
    </row>
    <row r="14" spans="3:9" x14ac:dyDescent="0.2">
      <c r="D14" s="25" t="s">
        <v>2</v>
      </c>
      <c r="E14" s="25" t="s">
        <v>95</v>
      </c>
      <c r="F14" s="26" t="s">
        <v>224</v>
      </c>
      <c r="G14" s="14">
        <f>IF(OR(G10="",F20="",G26="",H26=""),"Non calculable",MROUND(G26+IF(OR(F20="",F20="Non démontable"),0,(25-LEFT(F20,2)))+(G10-H26)*(3+LOG(G26+IF(OR(F20="",F20="Non démontable"),0,(25-LEFT(F20,2)))/(100-G26))*3),0.5))</f>
        <v>38</v>
      </c>
      <c r="H14" s="16" t="str">
        <f>IF(OR(F20="",F26=""),"Non calculable",IF(OR(F20="",F20="Non démontable"),LEFT(F26,2),LEFT(F26,2)+(LEFT(F20,2)-25))&amp;"""")</f>
        <v>62"</v>
      </c>
      <c r="I14" s="17" t="str">
        <f>IF(OR(I20="",I26=""),"Non calculable",((I20+I26)/1000)&amp;"kg")</f>
        <v>0,953kg</v>
      </c>
    </row>
    <row r="16" spans="3:9" x14ac:dyDescent="0.2">
      <c r="C16" s="7" t="s">
        <v>0</v>
      </c>
      <c r="D16" s="10"/>
      <c r="E16" s="10"/>
      <c r="F16" s="10"/>
      <c r="G16" s="10"/>
      <c r="H16" s="10"/>
      <c r="I16" s="10"/>
    </row>
    <row r="17" spans="3:9" s="15" customFormat="1" x14ac:dyDescent="0.25">
      <c r="D17" s="323" t="s">
        <v>120</v>
      </c>
      <c r="E17" s="323"/>
      <c r="F17" s="12" t="s">
        <v>20</v>
      </c>
      <c r="G17" s="12"/>
      <c r="H17" s="12" t="s">
        <v>227</v>
      </c>
      <c r="I17" s="12" t="s">
        <v>23</v>
      </c>
    </row>
    <row r="18" spans="3:9" x14ac:dyDescent="0.2">
      <c r="D18" s="325" t="s">
        <v>217</v>
      </c>
      <c r="E18" s="325"/>
      <c r="F18" s="33" t="s">
        <v>21</v>
      </c>
      <c r="H18" s="25" t="s">
        <v>226</v>
      </c>
      <c r="I18" s="33" t="s">
        <v>225</v>
      </c>
    </row>
    <row r="19" spans="3:9" s="15" customFormat="1" ht="28.5" x14ac:dyDescent="0.25">
      <c r="D19" s="12" t="s">
        <v>13</v>
      </c>
      <c r="E19" s="12" t="s">
        <v>12</v>
      </c>
      <c r="F19" s="12" t="s">
        <v>260</v>
      </c>
      <c r="G19" s="12" t="s">
        <v>205</v>
      </c>
      <c r="H19" s="12" t="s">
        <v>261</v>
      </c>
      <c r="I19" s="12" t="s">
        <v>208</v>
      </c>
    </row>
    <row r="20" spans="3:9" x14ac:dyDescent="0.2">
      <c r="D20" s="26" t="s">
        <v>18</v>
      </c>
      <c r="E20" s="26" t="s">
        <v>32</v>
      </c>
      <c r="F20" s="26" t="s">
        <v>6</v>
      </c>
      <c r="G20" s="26" t="s">
        <v>14</v>
      </c>
      <c r="H20" s="25">
        <v>-8</v>
      </c>
      <c r="I20" s="25">
        <v>738</v>
      </c>
    </row>
    <row r="22" spans="3:9" x14ac:dyDescent="0.2">
      <c r="C22" s="7" t="s">
        <v>22</v>
      </c>
      <c r="D22" s="322"/>
      <c r="E22" s="322"/>
      <c r="F22" s="9"/>
      <c r="G22" s="10"/>
      <c r="H22" s="10"/>
      <c r="I22" s="10"/>
    </row>
    <row r="23" spans="3:9" s="15" customFormat="1" x14ac:dyDescent="0.25">
      <c r="D23" s="323" t="s">
        <v>120</v>
      </c>
      <c r="E23" s="323"/>
      <c r="F23" s="35" t="s">
        <v>20</v>
      </c>
      <c r="G23" s="323" t="s">
        <v>205</v>
      </c>
      <c r="H23" s="323"/>
      <c r="I23" s="12" t="s">
        <v>23</v>
      </c>
    </row>
    <row r="24" spans="3:9" x14ac:dyDescent="0.2">
      <c r="D24" s="325" t="s">
        <v>89</v>
      </c>
      <c r="E24" s="325"/>
      <c r="F24" s="26" t="s">
        <v>14</v>
      </c>
      <c r="G24" s="326" t="s">
        <v>14</v>
      </c>
      <c r="H24" s="326"/>
      <c r="I24" s="37">
        <v>2397</v>
      </c>
    </row>
    <row r="25" spans="3:9" ht="28.5" x14ac:dyDescent="0.2">
      <c r="D25" s="12" t="s">
        <v>13</v>
      </c>
      <c r="E25" s="12" t="s">
        <v>12</v>
      </c>
      <c r="F25" s="12" t="s">
        <v>260</v>
      </c>
      <c r="G25" s="12" t="s">
        <v>259</v>
      </c>
      <c r="H25" s="12" t="s">
        <v>258</v>
      </c>
      <c r="I25" s="12" t="s">
        <v>208</v>
      </c>
    </row>
    <row r="26" spans="3:9" x14ac:dyDescent="0.2">
      <c r="D26" s="26" t="s">
        <v>18</v>
      </c>
      <c r="E26" s="26" t="s">
        <v>33</v>
      </c>
      <c r="F26" s="26" t="s">
        <v>30</v>
      </c>
      <c r="G26" s="26">
        <v>30</v>
      </c>
      <c r="H26" s="26">
        <v>28</v>
      </c>
      <c r="I26" s="26">
        <v>215</v>
      </c>
    </row>
    <row r="28" spans="3:9" x14ac:dyDescent="0.2">
      <c r="C28" s="7" t="s">
        <v>34</v>
      </c>
      <c r="D28" s="8"/>
      <c r="E28" s="8"/>
      <c r="F28" s="9"/>
      <c r="G28" s="10"/>
      <c r="H28" s="10"/>
      <c r="I28" s="10"/>
    </row>
    <row r="29" spans="3:9" ht="25.5" x14ac:dyDescent="0.2">
      <c r="D29" s="12" t="s">
        <v>13</v>
      </c>
      <c r="E29" s="13" t="s">
        <v>215</v>
      </c>
      <c r="F29" s="12" t="s">
        <v>20</v>
      </c>
      <c r="G29" s="12" t="s">
        <v>209</v>
      </c>
      <c r="H29" s="12" t="s">
        <v>12</v>
      </c>
      <c r="I29" s="12" t="s">
        <v>39</v>
      </c>
    </row>
    <row r="30" spans="3:9" x14ac:dyDescent="0.2">
      <c r="D30" s="25" t="s">
        <v>80</v>
      </c>
      <c r="E30" s="31" t="str">
        <f>VLOOKUP(D30,Corde_tableau,2,FALSE)</f>
        <v>0,015"</v>
      </c>
      <c r="F30" s="26" t="s">
        <v>37</v>
      </c>
      <c r="G30" s="32">
        <f>IF(OR(D14="",H14="Non calculable"),"Non calculable",IF(LEFT(H14,2)&gt;25,VLOOKUP(H14,Branche_Corde_Taille,3,FALSE)-VLOOKUP(D14,Arc_Moins_Corde,2,FALSE),""))</f>
        <v>137.84</v>
      </c>
      <c r="H30" s="26" t="s">
        <v>193</v>
      </c>
      <c r="I30" s="26">
        <v>16</v>
      </c>
    </row>
    <row r="31" spans="3:9" ht="25.5" x14ac:dyDescent="0.2">
      <c r="C31" s="18" t="s">
        <v>45</v>
      </c>
      <c r="D31" s="12" t="s">
        <v>13</v>
      </c>
      <c r="E31" s="12" t="s">
        <v>210</v>
      </c>
      <c r="F31" s="12" t="s">
        <v>211</v>
      </c>
      <c r="G31" s="12" t="s">
        <v>212</v>
      </c>
      <c r="H31" s="12" t="s">
        <v>12</v>
      </c>
      <c r="I31" s="12" t="s">
        <v>39</v>
      </c>
    </row>
    <row r="32" spans="3:9" x14ac:dyDescent="0.2">
      <c r="D32" s="28" t="s">
        <v>64</v>
      </c>
      <c r="E32" s="26" t="s">
        <v>56</v>
      </c>
      <c r="F32" s="25">
        <v>5</v>
      </c>
      <c r="G32" s="30" t="s">
        <v>218</v>
      </c>
      <c r="H32" s="26" t="s">
        <v>33</v>
      </c>
      <c r="I32" s="54">
        <v>16</v>
      </c>
    </row>
    <row r="33" spans="3:9" ht="25.5" x14ac:dyDescent="0.2">
      <c r="C33" s="18" t="s">
        <v>285</v>
      </c>
      <c r="D33" s="12" t="s">
        <v>13</v>
      </c>
      <c r="E33" s="12" t="s">
        <v>210</v>
      </c>
      <c r="F33" s="12" t="s">
        <v>213</v>
      </c>
      <c r="G33" s="12" t="s">
        <v>214</v>
      </c>
      <c r="H33" s="12" t="s">
        <v>12</v>
      </c>
      <c r="I33" s="12" t="s">
        <v>39</v>
      </c>
    </row>
    <row r="34" spans="3:9" x14ac:dyDescent="0.2">
      <c r="D34" s="28" t="s">
        <v>64</v>
      </c>
      <c r="E34" s="26" t="s">
        <v>56</v>
      </c>
      <c r="F34" s="29">
        <v>3</v>
      </c>
      <c r="G34" s="25">
        <v>7</v>
      </c>
      <c r="H34" s="26" t="s">
        <v>33</v>
      </c>
      <c r="I34" s="26">
        <v>16</v>
      </c>
    </row>
    <row r="35" spans="3:9" ht="25.5" x14ac:dyDescent="0.2">
      <c r="C35" s="18" t="s">
        <v>190</v>
      </c>
      <c r="D35" s="13" t="s">
        <v>20</v>
      </c>
      <c r="E35" s="12" t="s">
        <v>656</v>
      </c>
      <c r="F35" s="13" t="s">
        <v>90</v>
      </c>
      <c r="G35" s="12" t="s">
        <v>292</v>
      </c>
      <c r="H35" s="12" t="s">
        <v>289</v>
      </c>
    </row>
    <row r="36" spans="3:9" x14ac:dyDescent="0.2">
      <c r="D36" s="25" t="s">
        <v>655</v>
      </c>
      <c r="E36" s="27" t="s">
        <v>192</v>
      </c>
      <c r="F36" s="25">
        <v>1</v>
      </c>
      <c r="G36" s="25">
        <v>0.6</v>
      </c>
      <c r="H36" s="39" t="s">
        <v>291</v>
      </c>
    </row>
    <row r="38" spans="3:9" x14ac:dyDescent="0.2">
      <c r="C38" s="7" t="s">
        <v>246</v>
      </c>
      <c r="D38" s="8"/>
      <c r="E38" s="8"/>
      <c r="F38" s="9"/>
      <c r="G38" s="10"/>
      <c r="H38" s="10"/>
      <c r="I38" s="10"/>
    </row>
    <row r="39" spans="3:9" ht="25.5" x14ac:dyDescent="0.2">
      <c r="C39" s="18" t="s">
        <v>91</v>
      </c>
      <c r="D39" s="12" t="s">
        <v>206</v>
      </c>
      <c r="F39" s="18" t="s">
        <v>250</v>
      </c>
      <c r="G39" s="13" t="s">
        <v>251</v>
      </c>
      <c r="H39" s="13" t="s">
        <v>252</v>
      </c>
      <c r="I39" s="13" t="s">
        <v>277</v>
      </c>
    </row>
    <row r="40" spans="3:9" x14ac:dyDescent="0.2">
      <c r="D40" s="25" t="s">
        <v>197</v>
      </c>
      <c r="G40" s="26"/>
      <c r="H40" s="26"/>
      <c r="I40" s="16" t="str">
        <f>IF(OR(G40="",LEFT(G40,1)="?"),"",IF(G40&gt;100,(G40-H40)/10,G40-H40))</f>
        <v/>
      </c>
    </row>
    <row r="41" spans="3:9" ht="25.5" x14ac:dyDescent="0.2">
      <c r="C41" s="18" t="s">
        <v>247</v>
      </c>
      <c r="D41" s="13" t="s">
        <v>276</v>
      </c>
      <c r="E41" s="13" t="s">
        <v>120</v>
      </c>
      <c r="F41" s="13" t="s">
        <v>248</v>
      </c>
      <c r="G41" s="13" t="s">
        <v>249</v>
      </c>
    </row>
    <row r="42" spans="3:9" x14ac:dyDescent="0.2">
      <c r="D42" s="26" t="s">
        <v>244</v>
      </c>
      <c r="E42" s="41"/>
      <c r="F42" s="26"/>
      <c r="G42" s="36"/>
    </row>
    <row r="43" spans="3:9" ht="38.25" x14ac:dyDescent="0.2">
      <c r="C43" s="18" t="s">
        <v>267</v>
      </c>
      <c r="D43" s="12" t="s">
        <v>20</v>
      </c>
      <c r="E43" s="13" t="s">
        <v>120</v>
      </c>
      <c r="F43" s="12" t="s">
        <v>284</v>
      </c>
      <c r="G43" s="12" t="s">
        <v>283</v>
      </c>
      <c r="H43" s="12" t="s">
        <v>275</v>
      </c>
    </row>
    <row r="44" spans="3:9" x14ac:dyDescent="0.2">
      <c r="D44" s="38" t="s">
        <v>269</v>
      </c>
      <c r="E44" s="41"/>
      <c r="F44" s="38">
        <v>2</v>
      </c>
      <c r="G44" s="38">
        <v>2</v>
      </c>
      <c r="H44" s="40"/>
    </row>
    <row r="45" spans="3:9" ht="25.5" x14ac:dyDescent="0.2">
      <c r="C45" s="18" t="s">
        <v>278</v>
      </c>
      <c r="D45" s="12" t="s">
        <v>20</v>
      </c>
      <c r="E45" s="13" t="s">
        <v>120</v>
      </c>
      <c r="F45" s="12" t="s">
        <v>293</v>
      </c>
      <c r="G45" s="12" t="s">
        <v>295</v>
      </c>
      <c r="H45" s="12" t="s">
        <v>294</v>
      </c>
      <c r="I45" s="13" t="s">
        <v>296</v>
      </c>
    </row>
    <row r="46" spans="3:9" x14ac:dyDescent="0.2">
      <c r="D46" s="40" t="s">
        <v>279</v>
      </c>
      <c r="E46" s="41"/>
      <c r="F46" s="40"/>
      <c r="G46" s="40"/>
      <c r="H46" s="40"/>
      <c r="I46" s="40"/>
    </row>
    <row r="47" spans="3:9" ht="25.5" x14ac:dyDescent="0.2">
      <c r="C47" s="18" t="s">
        <v>286</v>
      </c>
      <c r="D47" s="12" t="s">
        <v>20</v>
      </c>
      <c r="E47" s="13" t="s">
        <v>120</v>
      </c>
      <c r="F47" s="12" t="s">
        <v>287</v>
      </c>
    </row>
    <row r="48" spans="3:9" x14ac:dyDescent="0.2">
      <c r="D48" s="40" t="s">
        <v>288</v>
      </c>
      <c r="E48" s="41"/>
      <c r="F48" s="40"/>
    </row>
    <row r="50" spans="3:9" ht="15.75" x14ac:dyDescent="0.2">
      <c r="C50" s="7" t="s">
        <v>98</v>
      </c>
      <c r="D50" s="50" t="s">
        <v>596</v>
      </c>
      <c r="E50" s="52" t="s">
        <v>130</v>
      </c>
      <c r="F50" s="51" t="s">
        <v>463</v>
      </c>
      <c r="G50" s="327" t="s">
        <v>176</v>
      </c>
      <c r="H50" s="327"/>
      <c r="I50" s="49" t="str">
        <f>IF(VLOOKUP(G50,shaft,8,FALSE)="","",VLOOKUP(G50,shaft,8,FALSE)&amp;""" Max")</f>
        <v>32" Max</v>
      </c>
    </row>
    <row r="51" spans="3:9" ht="25.5" x14ac:dyDescent="0.2">
      <c r="D51" s="12" t="s">
        <v>508</v>
      </c>
      <c r="E51" s="12" t="s">
        <v>221</v>
      </c>
      <c r="F51" s="12" t="s">
        <v>220</v>
      </c>
      <c r="G51" s="12" t="s">
        <v>99</v>
      </c>
      <c r="H51" s="13" t="s">
        <v>222</v>
      </c>
      <c r="I51" s="12" t="s">
        <v>100</v>
      </c>
    </row>
    <row r="52" spans="3:9" x14ac:dyDescent="0.2">
      <c r="D52" s="25" t="s">
        <v>102</v>
      </c>
      <c r="E52" s="25">
        <v>0</v>
      </c>
      <c r="F52" s="25">
        <v>29</v>
      </c>
      <c r="G52" s="25" t="s">
        <v>110</v>
      </c>
      <c r="H52" s="25">
        <v>0</v>
      </c>
      <c r="I52" s="25">
        <v>85</v>
      </c>
    </row>
    <row r="53" spans="3:9" ht="25.5" x14ac:dyDescent="0.2">
      <c r="C53" s="12" t="s">
        <v>511</v>
      </c>
      <c r="D53" s="12" t="s">
        <v>20</v>
      </c>
      <c r="E53" s="12" t="s">
        <v>300</v>
      </c>
      <c r="F53" s="12" t="s">
        <v>752</v>
      </c>
      <c r="G53" s="12" t="s">
        <v>510</v>
      </c>
      <c r="H53" s="12" t="s">
        <v>509</v>
      </c>
    </row>
    <row r="54" spans="3:9" x14ac:dyDescent="0.2">
      <c r="D54" s="39" t="s">
        <v>308</v>
      </c>
      <c r="E54" s="42">
        <v>0.41</v>
      </c>
      <c r="F54" s="53">
        <f>IF(OR(D54="",E54=""),"",IF(D54="Tube",26/($E$54*0.825),26/$E$54))</f>
        <v>63.41463414634147</v>
      </c>
      <c r="G54" s="39">
        <v>7.1</v>
      </c>
      <c r="H54" s="29">
        <v>20</v>
      </c>
    </row>
    <row r="55" spans="3:9" ht="5.0999999999999996" customHeight="1" x14ac:dyDescent="0.2"/>
    <row r="56" spans="3:9" ht="38.25" x14ac:dyDescent="0.2">
      <c r="C56" s="12" t="s">
        <v>184</v>
      </c>
      <c r="D56" s="12" t="s">
        <v>181</v>
      </c>
      <c r="E56" s="12" t="s">
        <v>751</v>
      </c>
      <c r="F56" s="12" t="s">
        <v>182</v>
      </c>
      <c r="G56" s="12" t="s">
        <v>216</v>
      </c>
      <c r="H56" s="12" t="s">
        <v>183</v>
      </c>
      <c r="I56" s="12" t="s">
        <v>228</v>
      </c>
    </row>
    <row r="57" spans="3:9" x14ac:dyDescent="0.2">
      <c r="C57" s="24">
        <f>I10</f>
        <v>71.500500000000002</v>
      </c>
      <c r="D57" s="19">
        <f>IF(G50="","Non calculable",(VLOOKUP(G50,shaft,7,FALSE))*F52+(F52-VLOOKUP(G52,insert,2,FALSE)-0.25)*H52+I52+VLOOKUP(G52,insert,3,FALSE)+VLOOKUP(D52,empenage,2,FALSE)+E52+10)</f>
        <v>369</v>
      </c>
      <c r="E57" s="14">
        <f>IF(OR(G50="",H10=""),"Non calculable",D57/$H$10)</f>
        <v>9.7105263157894743</v>
      </c>
      <c r="F57" s="20">
        <f>IF(OR(G50="",F52="",F52=0),"Non calculable",((F52/2)-Param_DSC!C59)/F52)</f>
        <v>0.1382861414821045</v>
      </c>
      <c r="G57" s="14">
        <f>IF(G50="","Non calculable",200/(LOG(D57/(VLOOKUP($E$14,Param_DSC!$C$20:$D$22,2,FALSE)*($H$10+($G$10-$H$26)*(3+LOG($H$10/(100-$H$10))*3))*(VLOOKUP(Param_DSC!$C$58,Param_DSC!$C$42:$E$44,2,FALSE)-0.05)),10))-20)</f>
        <v>185.25334760224533</v>
      </c>
      <c r="H57" s="14">
        <f>IF(G50="","Non calculable",(D57/451080)*(G57*G57))</f>
        <v>28.074040596795122</v>
      </c>
      <c r="I57" s="21">
        <f>IF(G50="","Non calculable",26/(VLOOKUP(G50,shaft,3,FALSE)*(1+((F52-VLOOKUP(G52,insert,2,FALSE))-29)/29*2.8)*(1+(I52+VLOOKUP(G52,insert,3,FALSE)-125-VLOOKUP(D52,empenage,2,FALSE)-E52)/125*0.4)))</f>
        <v>70.877904631053255</v>
      </c>
    </row>
    <row r="58" spans="3:9" x14ac:dyDescent="0.2">
      <c r="D58" s="22" t="str">
        <f>IF(G50="","Non calculable",ROUND(D57*Param_DSC!$D$63,2)&amp;" grammes")</f>
        <v>23,91 grammes</v>
      </c>
      <c r="G58" s="22" t="str">
        <f>IF(G57="","Non calculable",ROUND(G57/0.91134444444444,2)&amp;" km/h")</f>
        <v>203,27 km/h</v>
      </c>
    </row>
    <row r="60" spans="3:9" x14ac:dyDescent="0.2">
      <c r="D60" s="319" t="s">
        <v>219</v>
      </c>
      <c r="E60" s="320"/>
      <c r="F60" s="320"/>
      <c r="G60" s="320"/>
      <c r="H60" s="321"/>
      <c r="I60" s="23"/>
    </row>
    <row r="61" spans="3:9" x14ac:dyDescent="0.2">
      <c r="D61" s="318" t="s">
        <v>257</v>
      </c>
      <c r="E61" s="318"/>
      <c r="F61" s="318"/>
      <c r="G61" s="318"/>
      <c r="H61" s="318"/>
    </row>
  </sheetData>
  <sheetProtection algorithmName="SHA-512" hashValue="8KcipUmHq5Y2fqAdRgBW9NVnzenZ2FdpLA9jVOjUBR77aUc0J9rPrx4yylFCBTK+rIvylwvI5GCd2yqVE9Apbg==" saltValue="a8uSxI0claNynvObDq+8fg==" spinCount="100000" sheet="1" objects="1" scenarios="1" selectLockedCells="1"/>
  <mergeCells count="15">
    <mergeCell ref="D6:I6"/>
    <mergeCell ref="D3:I3"/>
    <mergeCell ref="D61:H61"/>
    <mergeCell ref="D60:H60"/>
    <mergeCell ref="D22:E22"/>
    <mergeCell ref="D9:E9"/>
    <mergeCell ref="D10:E10"/>
    <mergeCell ref="D17:E17"/>
    <mergeCell ref="D18:E18"/>
    <mergeCell ref="D23:E23"/>
    <mergeCell ref="D24:E24"/>
    <mergeCell ref="G24:H24"/>
    <mergeCell ref="G23:H23"/>
    <mergeCell ref="G50:H50"/>
    <mergeCell ref="D4:I4"/>
  </mergeCells>
  <conditionalFormatting sqref="I57">
    <cfRule type="cellIs" dxfId="24" priority="11" stopIfTrue="1" operator="notBetween">
      <formula>ROUND($C57,1)-1.1</formula>
      <formula>ROUND($C57,1)+1.1</formula>
    </cfRule>
    <cfRule type="cellIs" dxfId="23" priority="12" stopIfTrue="1" operator="between">
      <formula>ROUND($C57,1)-1.1</formula>
      <formula>ROUND($C57,1)+1.1</formula>
    </cfRule>
  </conditionalFormatting>
  <conditionalFormatting sqref="G50:H50">
    <cfRule type="expression" dxfId="22" priority="2">
      <formula>ISNA(VLOOKUP(G50,INDIRECT(E50),1,FALSE))</formula>
    </cfRule>
  </conditionalFormatting>
  <conditionalFormatting sqref="E36">
    <cfRule type="expression" dxfId="21" priority="1">
      <formula>ISNA(VLOOKUP(E36,INDIRECT(D36),1,FALSE))</formula>
    </cfRule>
  </conditionalFormatting>
  <dataValidations count="27">
    <dataValidation type="list" allowBlank="1" showInputMessage="1" showErrorMessage="1" sqref="D14">
      <formula1>Type_Arc</formula1>
    </dataValidation>
    <dataValidation type="list" allowBlank="1" showInputMessage="1" showErrorMessage="1" sqref="F20">
      <formula1>Poignée_Taille</formula1>
    </dataValidation>
    <dataValidation type="list" allowBlank="1" showInputMessage="1" showErrorMessage="1" sqref="D20 D26">
      <formula1>Poignée_Matériau</formula1>
    </dataValidation>
    <dataValidation type="list" allowBlank="1" showInputMessage="1" showErrorMessage="1" sqref="F18">
      <formula1>"sélectionnez,Ambidextre,Droitier,Gaucher"</formula1>
    </dataValidation>
    <dataValidation type="list" allowBlank="1" showInputMessage="1" showErrorMessage="1" sqref="F26">
      <formula1>Branche_Taille</formula1>
    </dataValidation>
    <dataValidation type="list" allowBlank="1" showInputMessage="1" showErrorMessage="1" sqref="F30">
      <formula1>Corde_Type</formula1>
    </dataValidation>
    <dataValidation type="list" allowBlank="1" showInputMessage="1" showErrorMessage="1" sqref="I30 I32 I34">
      <formula1>Corde_Nb_Brins</formula1>
    </dataValidation>
    <dataValidation type="list" allowBlank="1" showInputMessage="1" showErrorMessage="1" sqref="D36">
      <formula1>NockSet</formula1>
    </dataValidation>
    <dataValidation type="list" allowBlank="1" showInputMessage="1" showErrorMessage="1" sqref="G20 G24">
      <formula1>Système_Accroche</formula1>
    </dataValidation>
    <dataValidation type="list" allowBlank="1" showInputMessage="1" showErrorMessage="1" sqref="E32 E34">
      <formula1>Tranche_Fil_Diametre</formula1>
    </dataValidation>
    <dataValidation type="list" allowBlank="1" showInputMessage="1" showErrorMessage="1" sqref="D34 D32">
      <formula1>TF</formula1>
    </dataValidation>
    <dataValidation type="list" allowBlank="1" showInputMessage="1" showErrorMessage="1" sqref="E30">
      <formula1>Corde_Diamètre</formula1>
    </dataValidation>
    <dataValidation type="list" allowBlank="1" showInputMessage="1" showErrorMessage="1" sqref="D40">
      <formula1>Band</formula1>
    </dataValidation>
    <dataValidation type="list" allowBlank="1" showInputMessage="1" showErrorMessage="1" sqref="E14">
      <formula1>Type_Arc_Liste</formula1>
    </dataValidation>
    <dataValidation type="list" allowBlank="1" showInputMessage="1" showErrorMessage="1" sqref="G52">
      <formula1>Insert_Liste</formula1>
    </dataValidation>
    <dataValidation type="list" allowBlank="1" showInputMessage="1" showErrorMessage="1" sqref="D52">
      <formula1>Plumes</formula1>
    </dataValidation>
    <dataValidation type="list" allowBlank="1" showInputMessage="1" showErrorMessage="1" sqref="G50">
      <formula1>INDIRECT($E$50)</formula1>
    </dataValidation>
    <dataValidation type="list" allowBlank="1" showInputMessage="1" showErrorMessage="1" sqref="D30">
      <formula1>Corde_Matériau</formula1>
    </dataValidation>
    <dataValidation type="list" allowBlank="1" showInputMessage="1" showErrorMessage="1" sqref="D42">
      <formula1>Berger_Ressort</formula1>
    </dataValidation>
    <dataValidation type="list" allowBlank="1" showInputMessage="1" showErrorMessage="1" sqref="F24">
      <formula1>Branches_Type</formula1>
    </dataValidation>
    <dataValidation type="list" allowBlank="1" showInputMessage="1" showErrorMessage="1" sqref="D44">
      <formula1>Repose_flèche</formula1>
    </dataValidation>
    <dataValidation type="list" allowBlank="1" showInputMessage="1" showErrorMessage="1" sqref="D46">
      <formula1>Stabilisation</formula1>
    </dataValidation>
    <dataValidation type="list" allowBlank="1" showInputMessage="1" showErrorMessage="1" sqref="D48">
      <formula1>Visette</formula1>
    </dataValidation>
    <dataValidation type="list" allowBlank="1" showInputMessage="1" showErrorMessage="1" sqref="H36">
      <formula1>Nock</formula1>
    </dataValidation>
    <dataValidation type="list" allowBlank="1" showInputMessage="1" showErrorMessage="1" sqref="D54">
      <formula1>Flèches_Autre</formula1>
    </dataValidation>
    <dataValidation type="list" allowBlank="1" showInputMessage="1" showErrorMessage="1" sqref="E50">
      <formula1>Flèche_Marque</formula1>
    </dataValidation>
    <dataValidation type="list" allowBlank="1" showInputMessage="1" sqref="E36">
      <formula1>INDIRECT($D$36)</formula1>
    </dataValidation>
  </dataValidations>
  <pageMargins left="0.70866141732283472" right="0.70866141732283472" top="0.74803149606299213" bottom="0.74803149606299213" header="0.31496062992125984" footer="0.31496062992125984"/>
  <pageSetup paperSize="9" scale="73" orientation="portrait" horizontalDpi="4294967293" r:id="rId1"/>
  <headerFooter>
    <oddHeader>&amp;A</oddHeader>
    <oddFooter>&amp;LLes Archers du Phénix&amp;R2015</oddFooter>
  </headerFooter>
  <ignoredErrors>
    <ignoredError sqref="E3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B1:I22"/>
  <sheetViews>
    <sheetView showGridLines="0" workbookViewId="0">
      <selection activeCell="C8" sqref="C8"/>
    </sheetView>
  </sheetViews>
  <sheetFormatPr baseColWidth="10" defaultRowHeight="15" x14ac:dyDescent="0.25"/>
  <cols>
    <col min="1" max="1" width="1.42578125" customWidth="1"/>
    <col min="5" max="5" width="1.140625" customWidth="1"/>
  </cols>
  <sheetData>
    <row r="1" spans="2:9" ht="6" customHeight="1" x14ac:dyDescent="0.25"/>
    <row r="2" spans="2:9" s="11" customFormat="1" ht="12.75" x14ac:dyDescent="0.2"/>
    <row r="3" spans="2:9" s="11" customFormat="1" ht="12.75" x14ac:dyDescent="0.2"/>
    <row r="4" spans="2:9" s="11" customFormat="1" ht="42" x14ac:dyDescent="0.35">
      <c r="D4" s="47" t="s">
        <v>311</v>
      </c>
      <c r="E4" s="46"/>
      <c r="F4" s="46"/>
      <c r="G4" s="46"/>
      <c r="H4" s="46"/>
      <c r="I4" s="46"/>
    </row>
    <row r="5" spans="2:9" s="11" customFormat="1" ht="12.75" x14ac:dyDescent="0.2"/>
    <row r="6" spans="2:9" s="11" customFormat="1" ht="12.75" x14ac:dyDescent="0.2"/>
    <row r="7" spans="2:9" x14ac:dyDescent="0.25">
      <c r="C7" s="45" t="s">
        <v>309</v>
      </c>
      <c r="D7" s="45" t="s">
        <v>310</v>
      </c>
    </row>
    <row r="8" spans="2:9" x14ac:dyDescent="0.25">
      <c r="B8" s="45" t="s">
        <v>312</v>
      </c>
      <c r="C8" s="48"/>
      <c r="D8" s="48"/>
    </row>
    <row r="9" spans="2:9" x14ac:dyDescent="0.25">
      <c r="B9" s="45" t="s">
        <v>313</v>
      </c>
      <c r="C9" s="48"/>
      <c r="D9" s="48"/>
    </row>
    <row r="10" spans="2:9" x14ac:dyDescent="0.25">
      <c r="B10" s="45" t="s">
        <v>314</v>
      </c>
      <c r="C10" s="48"/>
      <c r="D10" s="48"/>
    </row>
    <row r="11" spans="2:9" x14ac:dyDescent="0.25">
      <c r="B11" s="45" t="s">
        <v>315</v>
      </c>
      <c r="C11" s="48"/>
      <c r="D11" s="48"/>
    </row>
    <row r="12" spans="2:9" x14ac:dyDescent="0.25">
      <c r="B12" s="45" t="s">
        <v>316</v>
      </c>
      <c r="C12" s="48"/>
      <c r="D12" s="48"/>
    </row>
    <row r="13" spans="2:9" x14ac:dyDescent="0.25">
      <c r="B13" s="45" t="s">
        <v>317</v>
      </c>
      <c r="C13" s="48"/>
      <c r="D13" s="48"/>
    </row>
    <row r="14" spans="2:9" x14ac:dyDescent="0.25">
      <c r="B14" s="45" t="s">
        <v>318</v>
      </c>
      <c r="C14" s="48"/>
      <c r="D14" s="48"/>
    </row>
    <row r="15" spans="2:9" x14ac:dyDescent="0.25">
      <c r="B15" s="45" t="s">
        <v>319</v>
      </c>
      <c r="C15" s="48"/>
      <c r="D15" s="48"/>
    </row>
    <row r="16" spans="2:9" x14ac:dyDescent="0.25">
      <c r="B16" s="45" t="s">
        <v>320</v>
      </c>
      <c r="C16" s="48"/>
      <c r="D16" s="48"/>
    </row>
    <row r="17" spans="2:4" x14ac:dyDescent="0.25">
      <c r="B17" s="45" t="s">
        <v>321</v>
      </c>
      <c r="C17" s="48"/>
      <c r="D17" s="48"/>
    </row>
    <row r="18" spans="2:4" x14ac:dyDescent="0.25">
      <c r="B18" s="45" t="s">
        <v>322</v>
      </c>
      <c r="C18" s="48"/>
      <c r="D18" s="48"/>
    </row>
    <row r="19" spans="2:4" x14ac:dyDescent="0.25">
      <c r="B19" s="45" t="s">
        <v>323</v>
      </c>
      <c r="C19" s="48"/>
      <c r="D19" s="48"/>
    </row>
    <row r="20" spans="2:4" x14ac:dyDescent="0.25">
      <c r="B20" s="45" t="s">
        <v>324</v>
      </c>
      <c r="C20" s="48"/>
      <c r="D20" s="48"/>
    </row>
    <row r="21" spans="2:4" x14ac:dyDescent="0.25">
      <c r="B21" s="45" t="s">
        <v>325</v>
      </c>
      <c r="C21" s="48"/>
      <c r="D21" s="48"/>
    </row>
    <row r="22" spans="2:4" ht="5.25" customHeight="1" x14ac:dyDescent="0.25"/>
  </sheetData>
  <sheetProtection algorithmName="SHA-512" hashValue="0I1NBhqyxZqP/gnpCP6RVDtuXRoQmUbznI4Tqg1c916u8EUTHijL6tOWRc+Dy+m7ukuOo7fmkf2pZfDFi0nSgw==" saltValue="t/m9PCUlYs2gCZdSI7j47Q==" spinCount="100000" sheet="1" objects="1" scenarios="1" selectLockedCells="1"/>
  <pageMargins left="0.70866141732283472" right="0.70866141732283472" top="0.74803149606299213" bottom="0.74803149606299213" header="0.31496062992125984" footer="0.31496062992125984"/>
  <pageSetup paperSize="9" orientation="portrait" horizontalDpi="4294967293" verticalDpi="0" r:id="rId1"/>
  <headerFooter>
    <oddHeader>&amp;CRéglage du viseur</oddHeader>
    <oddFooter>&amp;LLes Archers du Phénix&amp;R2015</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92"/>
  <sheetViews>
    <sheetView showGridLines="0" zoomScaleNormal="100" workbookViewId="0">
      <selection activeCell="C4" sqref="C4"/>
    </sheetView>
  </sheetViews>
  <sheetFormatPr baseColWidth="10" defaultColWidth="9.140625" defaultRowHeight="15" x14ac:dyDescent="0.25"/>
  <cols>
    <col min="1" max="1" width="0.85546875" customWidth="1"/>
    <col min="2" max="2" width="18.85546875" customWidth="1"/>
    <col min="3" max="3" width="28.7109375" style="115" customWidth="1"/>
    <col min="4" max="5" width="9.140625" style="115" customWidth="1"/>
    <col min="6" max="6" width="12.85546875" style="115" customWidth="1"/>
    <col min="7" max="7" width="9.140625" style="115" customWidth="1"/>
    <col min="8" max="8" width="9.28515625" style="115" customWidth="1"/>
    <col min="9" max="9" width="12.42578125" customWidth="1"/>
    <col min="10" max="10" width="11" customWidth="1"/>
    <col min="11" max="11" width="9.140625" customWidth="1"/>
    <col min="12" max="12" width="9" customWidth="1"/>
    <col min="13" max="13" width="8.140625" customWidth="1"/>
    <col min="14" max="15" width="9.42578125" customWidth="1"/>
    <col min="16" max="16" width="10.28515625" customWidth="1"/>
    <col min="17" max="17" width="11.5703125" customWidth="1"/>
    <col min="18" max="18" width="2.42578125" customWidth="1"/>
    <col min="21" max="21" width="11" bestFit="1" customWidth="1"/>
    <col min="22" max="22" width="8.85546875" bestFit="1" customWidth="1"/>
    <col min="23" max="23" width="10.28515625" bestFit="1" customWidth="1"/>
    <col min="255" max="255" width="18.85546875" customWidth="1"/>
    <col min="256" max="256" width="14" bestFit="1" customWidth="1"/>
    <col min="257" max="258" width="9.140625" customWidth="1"/>
    <col min="259" max="259" width="8.85546875" customWidth="1"/>
    <col min="260" max="260" width="9.140625" customWidth="1"/>
    <col min="261" max="261" width="9.28515625" customWidth="1"/>
    <col min="262" max="262" width="11" customWidth="1"/>
    <col min="263" max="263" width="9.140625" customWidth="1"/>
    <col min="264" max="264" width="9" customWidth="1"/>
    <col min="265" max="265" width="10.28515625" customWidth="1"/>
    <col min="266" max="266" width="8.140625" customWidth="1"/>
    <col min="267" max="268" width="9.42578125" customWidth="1"/>
    <col min="269" max="270" width="10.28515625" customWidth="1"/>
    <col min="272" max="272" width="11.85546875" customWidth="1"/>
    <col min="273" max="273" width="9.7109375" customWidth="1"/>
    <col min="274" max="274" width="10.7109375" customWidth="1"/>
    <col min="277" max="277" width="11" bestFit="1" customWidth="1"/>
    <col min="278" max="278" width="8.85546875" bestFit="1" customWidth="1"/>
    <col min="279" max="279" width="10.28515625" bestFit="1" customWidth="1"/>
    <col min="511" max="511" width="18.85546875" customWidth="1"/>
    <col min="512" max="512" width="14" bestFit="1" customWidth="1"/>
    <col min="513" max="514" width="9.140625" customWidth="1"/>
    <col min="515" max="515" width="8.85546875" customWidth="1"/>
    <col min="516" max="516" width="9.140625" customWidth="1"/>
    <col min="517" max="517" width="9.28515625" customWidth="1"/>
    <col min="518" max="518" width="11" customWidth="1"/>
    <col min="519" max="519" width="9.140625" customWidth="1"/>
    <col min="520" max="520" width="9" customWidth="1"/>
    <col min="521" max="521" width="10.28515625" customWidth="1"/>
    <col min="522" max="522" width="8.140625" customWidth="1"/>
    <col min="523" max="524" width="9.42578125" customWidth="1"/>
    <col min="525" max="526" width="10.28515625" customWidth="1"/>
    <col min="528" max="528" width="11.85546875" customWidth="1"/>
    <col min="529" max="529" width="9.7109375" customWidth="1"/>
    <col min="530" max="530" width="10.7109375" customWidth="1"/>
    <col min="533" max="533" width="11" bestFit="1" customWidth="1"/>
    <col min="534" max="534" width="8.85546875" bestFit="1" customWidth="1"/>
    <col min="535" max="535" width="10.28515625" bestFit="1" customWidth="1"/>
    <col min="767" max="767" width="18.85546875" customWidth="1"/>
    <col min="768" max="768" width="14" bestFit="1" customWidth="1"/>
    <col min="769" max="770" width="9.140625" customWidth="1"/>
    <col min="771" max="771" width="8.85546875" customWidth="1"/>
    <col min="772" max="772" width="9.140625" customWidth="1"/>
    <col min="773" max="773" width="9.28515625" customWidth="1"/>
    <col min="774" max="774" width="11" customWidth="1"/>
    <col min="775" max="775" width="9.140625" customWidth="1"/>
    <col min="776" max="776" width="9" customWidth="1"/>
    <col min="777" max="777" width="10.28515625" customWidth="1"/>
    <col min="778" max="778" width="8.140625" customWidth="1"/>
    <col min="779" max="780" width="9.42578125" customWidth="1"/>
    <col min="781" max="782" width="10.28515625" customWidth="1"/>
    <col min="784" max="784" width="11.85546875" customWidth="1"/>
    <col min="785" max="785" width="9.7109375" customWidth="1"/>
    <col min="786" max="786" width="10.7109375" customWidth="1"/>
    <col min="789" max="789" width="11" bestFit="1" customWidth="1"/>
    <col min="790" max="790" width="8.85546875" bestFit="1" customWidth="1"/>
    <col min="791" max="791" width="10.28515625" bestFit="1" customWidth="1"/>
    <col min="1023" max="1023" width="18.85546875" customWidth="1"/>
    <col min="1024" max="1024" width="14" bestFit="1" customWidth="1"/>
    <col min="1025" max="1026" width="9.140625" customWidth="1"/>
    <col min="1027" max="1027" width="8.85546875" customWidth="1"/>
    <col min="1028" max="1028" width="9.140625" customWidth="1"/>
    <col min="1029" max="1029" width="9.28515625" customWidth="1"/>
    <col min="1030" max="1030" width="11" customWidth="1"/>
    <col min="1031" max="1031" width="9.140625" customWidth="1"/>
    <col min="1032" max="1032" width="9" customWidth="1"/>
    <col min="1033" max="1033" width="10.28515625" customWidth="1"/>
    <col min="1034" max="1034" width="8.140625" customWidth="1"/>
    <col min="1035" max="1036" width="9.42578125" customWidth="1"/>
    <col min="1037" max="1038" width="10.28515625" customWidth="1"/>
    <col min="1040" max="1040" width="11.85546875" customWidth="1"/>
    <col min="1041" max="1041" width="9.7109375" customWidth="1"/>
    <col min="1042" max="1042" width="10.7109375" customWidth="1"/>
    <col min="1045" max="1045" width="11" bestFit="1" customWidth="1"/>
    <col min="1046" max="1046" width="8.85546875" bestFit="1" customWidth="1"/>
    <col min="1047" max="1047" width="10.28515625" bestFit="1" customWidth="1"/>
    <col min="1279" max="1279" width="18.85546875" customWidth="1"/>
    <col min="1280" max="1280" width="14" bestFit="1" customWidth="1"/>
    <col min="1281" max="1282" width="9.140625" customWidth="1"/>
    <col min="1283" max="1283" width="8.85546875" customWidth="1"/>
    <col min="1284" max="1284" width="9.140625" customWidth="1"/>
    <col min="1285" max="1285" width="9.28515625" customWidth="1"/>
    <col min="1286" max="1286" width="11" customWidth="1"/>
    <col min="1287" max="1287" width="9.140625" customWidth="1"/>
    <col min="1288" max="1288" width="9" customWidth="1"/>
    <col min="1289" max="1289" width="10.28515625" customWidth="1"/>
    <col min="1290" max="1290" width="8.140625" customWidth="1"/>
    <col min="1291" max="1292" width="9.42578125" customWidth="1"/>
    <col min="1293" max="1294" width="10.28515625" customWidth="1"/>
    <col min="1296" max="1296" width="11.85546875" customWidth="1"/>
    <col min="1297" max="1297" width="9.7109375" customWidth="1"/>
    <col min="1298" max="1298" width="10.7109375" customWidth="1"/>
    <col min="1301" max="1301" width="11" bestFit="1" customWidth="1"/>
    <col min="1302" max="1302" width="8.85546875" bestFit="1" customWidth="1"/>
    <col min="1303" max="1303" width="10.28515625" bestFit="1" customWidth="1"/>
    <col min="1535" max="1535" width="18.85546875" customWidth="1"/>
    <col min="1536" max="1536" width="14" bestFit="1" customWidth="1"/>
    <col min="1537" max="1538" width="9.140625" customWidth="1"/>
    <col min="1539" max="1539" width="8.85546875" customWidth="1"/>
    <col min="1540" max="1540" width="9.140625" customWidth="1"/>
    <col min="1541" max="1541" width="9.28515625" customWidth="1"/>
    <col min="1542" max="1542" width="11" customWidth="1"/>
    <col min="1543" max="1543" width="9.140625" customWidth="1"/>
    <col min="1544" max="1544" width="9" customWidth="1"/>
    <col min="1545" max="1545" width="10.28515625" customWidth="1"/>
    <col min="1546" max="1546" width="8.140625" customWidth="1"/>
    <col min="1547" max="1548" width="9.42578125" customWidth="1"/>
    <col min="1549" max="1550" width="10.28515625" customWidth="1"/>
    <col min="1552" max="1552" width="11.85546875" customWidth="1"/>
    <col min="1553" max="1553" width="9.7109375" customWidth="1"/>
    <col min="1554" max="1554" width="10.7109375" customWidth="1"/>
    <col min="1557" max="1557" width="11" bestFit="1" customWidth="1"/>
    <col min="1558" max="1558" width="8.85546875" bestFit="1" customWidth="1"/>
    <col min="1559" max="1559" width="10.28515625" bestFit="1" customWidth="1"/>
    <col min="1791" max="1791" width="18.85546875" customWidth="1"/>
    <col min="1792" max="1792" width="14" bestFit="1" customWidth="1"/>
    <col min="1793" max="1794" width="9.140625" customWidth="1"/>
    <col min="1795" max="1795" width="8.85546875" customWidth="1"/>
    <col min="1796" max="1796" width="9.140625" customWidth="1"/>
    <col min="1797" max="1797" width="9.28515625" customWidth="1"/>
    <col min="1798" max="1798" width="11" customWidth="1"/>
    <col min="1799" max="1799" width="9.140625" customWidth="1"/>
    <col min="1800" max="1800" width="9" customWidth="1"/>
    <col min="1801" max="1801" width="10.28515625" customWidth="1"/>
    <col min="1802" max="1802" width="8.140625" customWidth="1"/>
    <col min="1803" max="1804" width="9.42578125" customWidth="1"/>
    <col min="1805" max="1806" width="10.28515625" customWidth="1"/>
    <col min="1808" max="1808" width="11.85546875" customWidth="1"/>
    <col min="1809" max="1809" width="9.7109375" customWidth="1"/>
    <col min="1810" max="1810" width="10.7109375" customWidth="1"/>
    <col min="1813" max="1813" width="11" bestFit="1" customWidth="1"/>
    <col min="1814" max="1814" width="8.85546875" bestFit="1" customWidth="1"/>
    <col min="1815" max="1815" width="10.28515625" bestFit="1" customWidth="1"/>
    <col min="2047" max="2047" width="18.85546875" customWidth="1"/>
    <col min="2048" max="2048" width="14" bestFit="1" customWidth="1"/>
    <col min="2049" max="2050" width="9.140625" customWidth="1"/>
    <col min="2051" max="2051" width="8.85546875" customWidth="1"/>
    <col min="2052" max="2052" width="9.140625" customWidth="1"/>
    <col min="2053" max="2053" width="9.28515625" customWidth="1"/>
    <col min="2054" max="2054" width="11" customWidth="1"/>
    <col min="2055" max="2055" width="9.140625" customWidth="1"/>
    <col min="2056" max="2056" width="9" customWidth="1"/>
    <col min="2057" max="2057" width="10.28515625" customWidth="1"/>
    <col min="2058" max="2058" width="8.140625" customWidth="1"/>
    <col min="2059" max="2060" width="9.42578125" customWidth="1"/>
    <col min="2061" max="2062" width="10.28515625" customWidth="1"/>
    <col min="2064" max="2064" width="11.85546875" customWidth="1"/>
    <col min="2065" max="2065" width="9.7109375" customWidth="1"/>
    <col min="2066" max="2066" width="10.7109375" customWidth="1"/>
    <col min="2069" max="2069" width="11" bestFit="1" customWidth="1"/>
    <col min="2070" max="2070" width="8.85546875" bestFit="1" customWidth="1"/>
    <col min="2071" max="2071" width="10.28515625" bestFit="1" customWidth="1"/>
    <col min="2303" max="2303" width="18.85546875" customWidth="1"/>
    <col min="2304" max="2304" width="14" bestFit="1" customWidth="1"/>
    <col min="2305" max="2306" width="9.140625" customWidth="1"/>
    <col min="2307" max="2307" width="8.85546875" customWidth="1"/>
    <col min="2308" max="2308" width="9.140625" customWidth="1"/>
    <col min="2309" max="2309" width="9.28515625" customWidth="1"/>
    <col min="2310" max="2310" width="11" customWidth="1"/>
    <col min="2311" max="2311" width="9.140625" customWidth="1"/>
    <col min="2312" max="2312" width="9" customWidth="1"/>
    <col min="2313" max="2313" width="10.28515625" customWidth="1"/>
    <col min="2314" max="2314" width="8.140625" customWidth="1"/>
    <col min="2315" max="2316" width="9.42578125" customWidth="1"/>
    <col min="2317" max="2318" width="10.28515625" customWidth="1"/>
    <col min="2320" max="2320" width="11.85546875" customWidth="1"/>
    <col min="2321" max="2321" width="9.7109375" customWidth="1"/>
    <col min="2322" max="2322" width="10.7109375" customWidth="1"/>
    <col min="2325" max="2325" width="11" bestFit="1" customWidth="1"/>
    <col min="2326" max="2326" width="8.85546875" bestFit="1" customWidth="1"/>
    <col min="2327" max="2327" width="10.28515625" bestFit="1" customWidth="1"/>
    <col min="2559" max="2559" width="18.85546875" customWidth="1"/>
    <col min="2560" max="2560" width="14" bestFit="1" customWidth="1"/>
    <col min="2561" max="2562" width="9.140625" customWidth="1"/>
    <col min="2563" max="2563" width="8.85546875" customWidth="1"/>
    <col min="2564" max="2564" width="9.140625" customWidth="1"/>
    <col min="2565" max="2565" width="9.28515625" customWidth="1"/>
    <col min="2566" max="2566" width="11" customWidth="1"/>
    <col min="2567" max="2567" width="9.140625" customWidth="1"/>
    <col min="2568" max="2568" width="9" customWidth="1"/>
    <col min="2569" max="2569" width="10.28515625" customWidth="1"/>
    <col min="2570" max="2570" width="8.140625" customWidth="1"/>
    <col min="2571" max="2572" width="9.42578125" customWidth="1"/>
    <col min="2573" max="2574" width="10.28515625" customWidth="1"/>
    <col min="2576" max="2576" width="11.85546875" customWidth="1"/>
    <col min="2577" max="2577" width="9.7109375" customWidth="1"/>
    <col min="2578" max="2578" width="10.7109375" customWidth="1"/>
    <col min="2581" max="2581" width="11" bestFit="1" customWidth="1"/>
    <col min="2582" max="2582" width="8.85546875" bestFit="1" customWidth="1"/>
    <col min="2583" max="2583" width="10.28515625" bestFit="1" customWidth="1"/>
    <col min="2815" max="2815" width="18.85546875" customWidth="1"/>
    <col min="2816" max="2816" width="14" bestFit="1" customWidth="1"/>
    <col min="2817" max="2818" width="9.140625" customWidth="1"/>
    <col min="2819" max="2819" width="8.85546875" customWidth="1"/>
    <col min="2820" max="2820" width="9.140625" customWidth="1"/>
    <col min="2821" max="2821" width="9.28515625" customWidth="1"/>
    <col min="2822" max="2822" width="11" customWidth="1"/>
    <col min="2823" max="2823" width="9.140625" customWidth="1"/>
    <col min="2824" max="2824" width="9" customWidth="1"/>
    <col min="2825" max="2825" width="10.28515625" customWidth="1"/>
    <col min="2826" max="2826" width="8.140625" customWidth="1"/>
    <col min="2827" max="2828" width="9.42578125" customWidth="1"/>
    <col min="2829" max="2830" width="10.28515625" customWidth="1"/>
    <col min="2832" max="2832" width="11.85546875" customWidth="1"/>
    <col min="2833" max="2833" width="9.7109375" customWidth="1"/>
    <col min="2834" max="2834" width="10.7109375" customWidth="1"/>
    <col min="2837" max="2837" width="11" bestFit="1" customWidth="1"/>
    <col min="2838" max="2838" width="8.85546875" bestFit="1" customWidth="1"/>
    <col min="2839" max="2839" width="10.28515625" bestFit="1" customWidth="1"/>
    <col min="3071" max="3071" width="18.85546875" customWidth="1"/>
    <col min="3072" max="3072" width="14" bestFit="1" customWidth="1"/>
    <col min="3073" max="3074" width="9.140625" customWidth="1"/>
    <col min="3075" max="3075" width="8.85546875" customWidth="1"/>
    <col min="3076" max="3076" width="9.140625" customWidth="1"/>
    <col min="3077" max="3077" width="9.28515625" customWidth="1"/>
    <col min="3078" max="3078" width="11" customWidth="1"/>
    <col min="3079" max="3079" width="9.140625" customWidth="1"/>
    <col min="3080" max="3080" width="9" customWidth="1"/>
    <col min="3081" max="3081" width="10.28515625" customWidth="1"/>
    <col min="3082" max="3082" width="8.140625" customWidth="1"/>
    <col min="3083" max="3084" width="9.42578125" customWidth="1"/>
    <col min="3085" max="3086" width="10.28515625" customWidth="1"/>
    <col min="3088" max="3088" width="11.85546875" customWidth="1"/>
    <col min="3089" max="3089" width="9.7109375" customWidth="1"/>
    <col min="3090" max="3090" width="10.7109375" customWidth="1"/>
    <col min="3093" max="3093" width="11" bestFit="1" customWidth="1"/>
    <col min="3094" max="3094" width="8.85546875" bestFit="1" customWidth="1"/>
    <col min="3095" max="3095" width="10.28515625" bestFit="1" customWidth="1"/>
    <col min="3327" max="3327" width="18.85546875" customWidth="1"/>
    <col min="3328" max="3328" width="14" bestFit="1" customWidth="1"/>
    <col min="3329" max="3330" width="9.140625" customWidth="1"/>
    <col min="3331" max="3331" width="8.85546875" customWidth="1"/>
    <col min="3332" max="3332" width="9.140625" customWidth="1"/>
    <col min="3333" max="3333" width="9.28515625" customWidth="1"/>
    <col min="3334" max="3334" width="11" customWidth="1"/>
    <col min="3335" max="3335" width="9.140625" customWidth="1"/>
    <col min="3336" max="3336" width="9" customWidth="1"/>
    <col min="3337" max="3337" width="10.28515625" customWidth="1"/>
    <col min="3338" max="3338" width="8.140625" customWidth="1"/>
    <col min="3339" max="3340" width="9.42578125" customWidth="1"/>
    <col min="3341" max="3342" width="10.28515625" customWidth="1"/>
    <col min="3344" max="3344" width="11.85546875" customWidth="1"/>
    <col min="3345" max="3345" width="9.7109375" customWidth="1"/>
    <col min="3346" max="3346" width="10.7109375" customWidth="1"/>
    <col min="3349" max="3349" width="11" bestFit="1" customWidth="1"/>
    <col min="3350" max="3350" width="8.85546875" bestFit="1" customWidth="1"/>
    <col min="3351" max="3351" width="10.28515625" bestFit="1" customWidth="1"/>
    <col min="3583" max="3583" width="18.85546875" customWidth="1"/>
    <col min="3584" max="3584" width="14" bestFit="1" customWidth="1"/>
    <col min="3585" max="3586" width="9.140625" customWidth="1"/>
    <col min="3587" max="3587" width="8.85546875" customWidth="1"/>
    <col min="3588" max="3588" width="9.140625" customWidth="1"/>
    <col min="3589" max="3589" width="9.28515625" customWidth="1"/>
    <col min="3590" max="3590" width="11" customWidth="1"/>
    <col min="3591" max="3591" width="9.140625" customWidth="1"/>
    <col min="3592" max="3592" width="9" customWidth="1"/>
    <col min="3593" max="3593" width="10.28515625" customWidth="1"/>
    <col min="3594" max="3594" width="8.140625" customWidth="1"/>
    <col min="3595" max="3596" width="9.42578125" customWidth="1"/>
    <col min="3597" max="3598" width="10.28515625" customWidth="1"/>
    <col min="3600" max="3600" width="11.85546875" customWidth="1"/>
    <col min="3601" max="3601" width="9.7109375" customWidth="1"/>
    <col min="3602" max="3602" width="10.7109375" customWidth="1"/>
    <col min="3605" max="3605" width="11" bestFit="1" customWidth="1"/>
    <col min="3606" max="3606" width="8.85546875" bestFit="1" customWidth="1"/>
    <col min="3607" max="3607" width="10.28515625" bestFit="1" customWidth="1"/>
    <col min="3839" max="3839" width="18.85546875" customWidth="1"/>
    <col min="3840" max="3840" width="14" bestFit="1" customWidth="1"/>
    <col min="3841" max="3842" width="9.140625" customWidth="1"/>
    <col min="3843" max="3843" width="8.85546875" customWidth="1"/>
    <col min="3844" max="3844" width="9.140625" customWidth="1"/>
    <col min="3845" max="3845" width="9.28515625" customWidth="1"/>
    <col min="3846" max="3846" width="11" customWidth="1"/>
    <col min="3847" max="3847" width="9.140625" customWidth="1"/>
    <col min="3848" max="3848" width="9" customWidth="1"/>
    <col min="3849" max="3849" width="10.28515625" customWidth="1"/>
    <col min="3850" max="3850" width="8.140625" customWidth="1"/>
    <col min="3851" max="3852" width="9.42578125" customWidth="1"/>
    <col min="3853" max="3854" width="10.28515625" customWidth="1"/>
    <col min="3856" max="3856" width="11.85546875" customWidth="1"/>
    <col min="3857" max="3857" width="9.7109375" customWidth="1"/>
    <col min="3858" max="3858" width="10.7109375" customWidth="1"/>
    <col min="3861" max="3861" width="11" bestFit="1" customWidth="1"/>
    <col min="3862" max="3862" width="8.85546875" bestFit="1" customWidth="1"/>
    <col min="3863" max="3863" width="10.28515625" bestFit="1" customWidth="1"/>
    <col min="4095" max="4095" width="18.85546875" customWidth="1"/>
    <col min="4096" max="4096" width="14" bestFit="1" customWidth="1"/>
    <col min="4097" max="4098" width="9.140625" customWidth="1"/>
    <col min="4099" max="4099" width="8.85546875" customWidth="1"/>
    <col min="4100" max="4100" width="9.140625" customWidth="1"/>
    <col min="4101" max="4101" width="9.28515625" customWidth="1"/>
    <col min="4102" max="4102" width="11" customWidth="1"/>
    <col min="4103" max="4103" width="9.140625" customWidth="1"/>
    <col min="4104" max="4104" width="9" customWidth="1"/>
    <col min="4105" max="4105" width="10.28515625" customWidth="1"/>
    <col min="4106" max="4106" width="8.140625" customWidth="1"/>
    <col min="4107" max="4108" width="9.42578125" customWidth="1"/>
    <col min="4109" max="4110" width="10.28515625" customWidth="1"/>
    <col min="4112" max="4112" width="11.85546875" customWidth="1"/>
    <col min="4113" max="4113" width="9.7109375" customWidth="1"/>
    <col min="4114" max="4114" width="10.7109375" customWidth="1"/>
    <col min="4117" max="4117" width="11" bestFit="1" customWidth="1"/>
    <col min="4118" max="4118" width="8.85546875" bestFit="1" customWidth="1"/>
    <col min="4119" max="4119" width="10.28515625" bestFit="1" customWidth="1"/>
    <col min="4351" max="4351" width="18.85546875" customWidth="1"/>
    <col min="4352" max="4352" width="14" bestFit="1" customWidth="1"/>
    <col min="4353" max="4354" width="9.140625" customWidth="1"/>
    <col min="4355" max="4355" width="8.85546875" customWidth="1"/>
    <col min="4356" max="4356" width="9.140625" customWidth="1"/>
    <col min="4357" max="4357" width="9.28515625" customWidth="1"/>
    <col min="4358" max="4358" width="11" customWidth="1"/>
    <col min="4359" max="4359" width="9.140625" customWidth="1"/>
    <col min="4360" max="4360" width="9" customWidth="1"/>
    <col min="4361" max="4361" width="10.28515625" customWidth="1"/>
    <col min="4362" max="4362" width="8.140625" customWidth="1"/>
    <col min="4363" max="4364" width="9.42578125" customWidth="1"/>
    <col min="4365" max="4366" width="10.28515625" customWidth="1"/>
    <col min="4368" max="4368" width="11.85546875" customWidth="1"/>
    <col min="4369" max="4369" width="9.7109375" customWidth="1"/>
    <col min="4370" max="4370" width="10.7109375" customWidth="1"/>
    <col min="4373" max="4373" width="11" bestFit="1" customWidth="1"/>
    <col min="4374" max="4374" width="8.85546875" bestFit="1" customWidth="1"/>
    <col min="4375" max="4375" width="10.28515625" bestFit="1" customWidth="1"/>
    <col min="4607" max="4607" width="18.85546875" customWidth="1"/>
    <col min="4608" max="4608" width="14" bestFit="1" customWidth="1"/>
    <col min="4609" max="4610" width="9.140625" customWidth="1"/>
    <col min="4611" max="4611" width="8.85546875" customWidth="1"/>
    <col min="4612" max="4612" width="9.140625" customWidth="1"/>
    <col min="4613" max="4613" width="9.28515625" customWidth="1"/>
    <col min="4614" max="4614" width="11" customWidth="1"/>
    <col min="4615" max="4615" width="9.140625" customWidth="1"/>
    <col min="4616" max="4616" width="9" customWidth="1"/>
    <col min="4617" max="4617" width="10.28515625" customWidth="1"/>
    <col min="4618" max="4618" width="8.140625" customWidth="1"/>
    <col min="4619" max="4620" width="9.42578125" customWidth="1"/>
    <col min="4621" max="4622" width="10.28515625" customWidth="1"/>
    <col min="4624" max="4624" width="11.85546875" customWidth="1"/>
    <col min="4625" max="4625" width="9.7109375" customWidth="1"/>
    <col min="4626" max="4626" width="10.7109375" customWidth="1"/>
    <col min="4629" max="4629" width="11" bestFit="1" customWidth="1"/>
    <col min="4630" max="4630" width="8.85546875" bestFit="1" customWidth="1"/>
    <col min="4631" max="4631" width="10.28515625" bestFit="1" customWidth="1"/>
    <col min="4863" max="4863" width="18.85546875" customWidth="1"/>
    <col min="4864" max="4864" width="14" bestFit="1" customWidth="1"/>
    <col min="4865" max="4866" width="9.140625" customWidth="1"/>
    <col min="4867" max="4867" width="8.85546875" customWidth="1"/>
    <col min="4868" max="4868" width="9.140625" customWidth="1"/>
    <col min="4869" max="4869" width="9.28515625" customWidth="1"/>
    <col min="4870" max="4870" width="11" customWidth="1"/>
    <col min="4871" max="4871" width="9.140625" customWidth="1"/>
    <col min="4872" max="4872" width="9" customWidth="1"/>
    <col min="4873" max="4873" width="10.28515625" customWidth="1"/>
    <col min="4874" max="4874" width="8.140625" customWidth="1"/>
    <col min="4875" max="4876" width="9.42578125" customWidth="1"/>
    <col min="4877" max="4878" width="10.28515625" customWidth="1"/>
    <col min="4880" max="4880" width="11.85546875" customWidth="1"/>
    <col min="4881" max="4881" width="9.7109375" customWidth="1"/>
    <col min="4882" max="4882" width="10.7109375" customWidth="1"/>
    <col min="4885" max="4885" width="11" bestFit="1" customWidth="1"/>
    <col min="4886" max="4886" width="8.85546875" bestFit="1" customWidth="1"/>
    <col min="4887" max="4887" width="10.28515625" bestFit="1" customWidth="1"/>
    <col min="5119" max="5119" width="18.85546875" customWidth="1"/>
    <col min="5120" max="5120" width="14" bestFit="1" customWidth="1"/>
    <col min="5121" max="5122" width="9.140625" customWidth="1"/>
    <col min="5123" max="5123" width="8.85546875" customWidth="1"/>
    <col min="5124" max="5124" width="9.140625" customWidth="1"/>
    <col min="5125" max="5125" width="9.28515625" customWidth="1"/>
    <col min="5126" max="5126" width="11" customWidth="1"/>
    <col min="5127" max="5127" width="9.140625" customWidth="1"/>
    <col min="5128" max="5128" width="9" customWidth="1"/>
    <col min="5129" max="5129" width="10.28515625" customWidth="1"/>
    <col min="5130" max="5130" width="8.140625" customWidth="1"/>
    <col min="5131" max="5132" width="9.42578125" customWidth="1"/>
    <col min="5133" max="5134" width="10.28515625" customWidth="1"/>
    <col min="5136" max="5136" width="11.85546875" customWidth="1"/>
    <col min="5137" max="5137" width="9.7109375" customWidth="1"/>
    <col min="5138" max="5138" width="10.7109375" customWidth="1"/>
    <col min="5141" max="5141" width="11" bestFit="1" customWidth="1"/>
    <col min="5142" max="5142" width="8.85546875" bestFit="1" customWidth="1"/>
    <col min="5143" max="5143" width="10.28515625" bestFit="1" customWidth="1"/>
    <col min="5375" max="5375" width="18.85546875" customWidth="1"/>
    <col min="5376" max="5376" width="14" bestFit="1" customWidth="1"/>
    <col min="5377" max="5378" width="9.140625" customWidth="1"/>
    <col min="5379" max="5379" width="8.85546875" customWidth="1"/>
    <col min="5380" max="5380" width="9.140625" customWidth="1"/>
    <col min="5381" max="5381" width="9.28515625" customWidth="1"/>
    <col min="5382" max="5382" width="11" customWidth="1"/>
    <col min="5383" max="5383" width="9.140625" customWidth="1"/>
    <col min="5384" max="5384" width="9" customWidth="1"/>
    <col min="5385" max="5385" width="10.28515625" customWidth="1"/>
    <col min="5386" max="5386" width="8.140625" customWidth="1"/>
    <col min="5387" max="5388" width="9.42578125" customWidth="1"/>
    <col min="5389" max="5390" width="10.28515625" customWidth="1"/>
    <col min="5392" max="5392" width="11.85546875" customWidth="1"/>
    <col min="5393" max="5393" width="9.7109375" customWidth="1"/>
    <col min="5394" max="5394" width="10.7109375" customWidth="1"/>
    <col min="5397" max="5397" width="11" bestFit="1" customWidth="1"/>
    <col min="5398" max="5398" width="8.85546875" bestFit="1" customWidth="1"/>
    <col min="5399" max="5399" width="10.28515625" bestFit="1" customWidth="1"/>
    <col min="5631" max="5631" width="18.85546875" customWidth="1"/>
    <col min="5632" max="5632" width="14" bestFit="1" customWidth="1"/>
    <col min="5633" max="5634" width="9.140625" customWidth="1"/>
    <col min="5635" max="5635" width="8.85546875" customWidth="1"/>
    <col min="5636" max="5636" width="9.140625" customWidth="1"/>
    <col min="5637" max="5637" width="9.28515625" customWidth="1"/>
    <col min="5638" max="5638" width="11" customWidth="1"/>
    <col min="5639" max="5639" width="9.140625" customWidth="1"/>
    <col min="5640" max="5640" width="9" customWidth="1"/>
    <col min="5641" max="5641" width="10.28515625" customWidth="1"/>
    <col min="5642" max="5642" width="8.140625" customWidth="1"/>
    <col min="5643" max="5644" width="9.42578125" customWidth="1"/>
    <col min="5645" max="5646" width="10.28515625" customWidth="1"/>
    <col min="5648" max="5648" width="11.85546875" customWidth="1"/>
    <col min="5649" max="5649" width="9.7109375" customWidth="1"/>
    <col min="5650" max="5650" width="10.7109375" customWidth="1"/>
    <col min="5653" max="5653" width="11" bestFit="1" customWidth="1"/>
    <col min="5654" max="5654" width="8.85546875" bestFit="1" customWidth="1"/>
    <col min="5655" max="5655" width="10.28515625" bestFit="1" customWidth="1"/>
    <col min="5887" max="5887" width="18.85546875" customWidth="1"/>
    <col min="5888" max="5888" width="14" bestFit="1" customWidth="1"/>
    <col min="5889" max="5890" width="9.140625" customWidth="1"/>
    <col min="5891" max="5891" width="8.85546875" customWidth="1"/>
    <col min="5892" max="5892" width="9.140625" customWidth="1"/>
    <col min="5893" max="5893" width="9.28515625" customWidth="1"/>
    <col min="5894" max="5894" width="11" customWidth="1"/>
    <col min="5895" max="5895" width="9.140625" customWidth="1"/>
    <col min="5896" max="5896" width="9" customWidth="1"/>
    <col min="5897" max="5897" width="10.28515625" customWidth="1"/>
    <col min="5898" max="5898" width="8.140625" customWidth="1"/>
    <col min="5899" max="5900" width="9.42578125" customWidth="1"/>
    <col min="5901" max="5902" width="10.28515625" customWidth="1"/>
    <col min="5904" max="5904" width="11.85546875" customWidth="1"/>
    <col min="5905" max="5905" width="9.7109375" customWidth="1"/>
    <col min="5906" max="5906" width="10.7109375" customWidth="1"/>
    <col min="5909" max="5909" width="11" bestFit="1" customWidth="1"/>
    <col min="5910" max="5910" width="8.85546875" bestFit="1" customWidth="1"/>
    <col min="5911" max="5911" width="10.28515625" bestFit="1" customWidth="1"/>
    <col min="6143" max="6143" width="18.85546875" customWidth="1"/>
    <col min="6144" max="6144" width="14" bestFit="1" customWidth="1"/>
    <col min="6145" max="6146" width="9.140625" customWidth="1"/>
    <col min="6147" max="6147" width="8.85546875" customWidth="1"/>
    <col min="6148" max="6148" width="9.140625" customWidth="1"/>
    <col min="6149" max="6149" width="9.28515625" customWidth="1"/>
    <col min="6150" max="6150" width="11" customWidth="1"/>
    <col min="6151" max="6151" width="9.140625" customWidth="1"/>
    <col min="6152" max="6152" width="9" customWidth="1"/>
    <col min="6153" max="6153" width="10.28515625" customWidth="1"/>
    <col min="6154" max="6154" width="8.140625" customWidth="1"/>
    <col min="6155" max="6156" width="9.42578125" customWidth="1"/>
    <col min="6157" max="6158" width="10.28515625" customWidth="1"/>
    <col min="6160" max="6160" width="11.85546875" customWidth="1"/>
    <col min="6161" max="6161" width="9.7109375" customWidth="1"/>
    <col min="6162" max="6162" width="10.7109375" customWidth="1"/>
    <col min="6165" max="6165" width="11" bestFit="1" customWidth="1"/>
    <col min="6166" max="6166" width="8.85546875" bestFit="1" customWidth="1"/>
    <col min="6167" max="6167" width="10.28515625" bestFit="1" customWidth="1"/>
    <col min="6399" max="6399" width="18.85546875" customWidth="1"/>
    <col min="6400" max="6400" width="14" bestFit="1" customWidth="1"/>
    <col min="6401" max="6402" width="9.140625" customWidth="1"/>
    <col min="6403" max="6403" width="8.85546875" customWidth="1"/>
    <col min="6404" max="6404" width="9.140625" customWidth="1"/>
    <col min="6405" max="6405" width="9.28515625" customWidth="1"/>
    <col min="6406" max="6406" width="11" customWidth="1"/>
    <col min="6407" max="6407" width="9.140625" customWidth="1"/>
    <col min="6408" max="6408" width="9" customWidth="1"/>
    <col min="6409" max="6409" width="10.28515625" customWidth="1"/>
    <col min="6410" max="6410" width="8.140625" customWidth="1"/>
    <col min="6411" max="6412" width="9.42578125" customWidth="1"/>
    <col min="6413" max="6414" width="10.28515625" customWidth="1"/>
    <col min="6416" max="6416" width="11.85546875" customWidth="1"/>
    <col min="6417" max="6417" width="9.7109375" customWidth="1"/>
    <col min="6418" max="6418" width="10.7109375" customWidth="1"/>
    <col min="6421" max="6421" width="11" bestFit="1" customWidth="1"/>
    <col min="6422" max="6422" width="8.85546875" bestFit="1" customWidth="1"/>
    <col min="6423" max="6423" width="10.28515625" bestFit="1" customWidth="1"/>
    <col min="6655" max="6655" width="18.85546875" customWidth="1"/>
    <col min="6656" max="6656" width="14" bestFit="1" customWidth="1"/>
    <col min="6657" max="6658" width="9.140625" customWidth="1"/>
    <col min="6659" max="6659" width="8.85546875" customWidth="1"/>
    <col min="6660" max="6660" width="9.140625" customWidth="1"/>
    <col min="6661" max="6661" width="9.28515625" customWidth="1"/>
    <col min="6662" max="6662" width="11" customWidth="1"/>
    <col min="6663" max="6663" width="9.140625" customWidth="1"/>
    <col min="6664" max="6664" width="9" customWidth="1"/>
    <col min="6665" max="6665" width="10.28515625" customWidth="1"/>
    <col min="6666" max="6666" width="8.140625" customWidth="1"/>
    <col min="6667" max="6668" width="9.42578125" customWidth="1"/>
    <col min="6669" max="6670" width="10.28515625" customWidth="1"/>
    <col min="6672" max="6672" width="11.85546875" customWidth="1"/>
    <col min="6673" max="6673" width="9.7109375" customWidth="1"/>
    <col min="6674" max="6674" width="10.7109375" customWidth="1"/>
    <col min="6677" max="6677" width="11" bestFit="1" customWidth="1"/>
    <col min="6678" max="6678" width="8.85546875" bestFit="1" customWidth="1"/>
    <col min="6679" max="6679" width="10.28515625" bestFit="1" customWidth="1"/>
    <col min="6911" max="6911" width="18.85546875" customWidth="1"/>
    <col min="6912" max="6912" width="14" bestFit="1" customWidth="1"/>
    <col min="6913" max="6914" width="9.140625" customWidth="1"/>
    <col min="6915" max="6915" width="8.85546875" customWidth="1"/>
    <col min="6916" max="6916" width="9.140625" customWidth="1"/>
    <col min="6917" max="6917" width="9.28515625" customWidth="1"/>
    <col min="6918" max="6918" width="11" customWidth="1"/>
    <col min="6919" max="6919" width="9.140625" customWidth="1"/>
    <col min="6920" max="6920" width="9" customWidth="1"/>
    <col min="6921" max="6921" width="10.28515625" customWidth="1"/>
    <col min="6922" max="6922" width="8.140625" customWidth="1"/>
    <col min="6923" max="6924" width="9.42578125" customWidth="1"/>
    <col min="6925" max="6926" width="10.28515625" customWidth="1"/>
    <col min="6928" max="6928" width="11.85546875" customWidth="1"/>
    <col min="6929" max="6929" width="9.7109375" customWidth="1"/>
    <col min="6930" max="6930" width="10.7109375" customWidth="1"/>
    <col min="6933" max="6933" width="11" bestFit="1" customWidth="1"/>
    <col min="6934" max="6934" width="8.85546875" bestFit="1" customWidth="1"/>
    <col min="6935" max="6935" width="10.28515625" bestFit="1" customWidth="1"/>
    <col min="7167" max="7167" width="18.85546875" customWidth="1"/>
    <col min="7168" max="7168" width="14" bestFit="1" customWidth="1"/>
    <col min="7169" max="7170" width="9.140625" customWidth="1"/>
    <col min="7171" max="7171" width="8.85546875" customWidth="1"/>
    <col min="7172" max="7172" width="9.140625" customWidth="1"/>
    <col min="7173" max="7173" width="9.28515625" customWidth="1"/>
    <col min="7174" max="7174" width="11" customWidth="1"/>
    <col min="7175" max="7175" width="9.140625" customWidth="1"/>
    <col min="7176" max="7176" width="9" customWidth="1"/>
    <col min="7177" max="7177" width="10.28515625" customWidth="1"/>
    <col min="7178" max="7178" width="8.140625" customWidth="1"/>
    <col min="7179" max="7180" width="9.42578125" customWidth="1"/>
    <col min="7181" max="7182" width="10.28515625" customWidth="1"/>
    <col min="7184" max="7184" width="11.85546875" customWidth="1"/>
    <col min="7185" max="7185" width="9.7109375" customWidth="1"/>
    <col min="7186" max="7186" width="10.7109375" customWidth="1"/>
    <col min="7189" max="7189" width="11" bestFit="1" customWidth="1"/>
    <col min="7190" max="7190" width="8.85546875" bestFit="1" customWidth="1"/>
    <col min="7191" max="7191" width="10.28515625" bestFit="1" customWidth="1"/>
    <col min="7423" max="7423" width="18.85546875" customWidth="1"/>
    <col min="7424" max="7424" width="14" bestFit="1" customWidth="1"/>
    <col min="7425" max="7426" width="9.140625" customWidth="1"/>
    <col min="7427" max="7427" width="8.85546875" customWidth="1"/>
    <col min="7428" max="7428" width="9.140625" customWidth="1"/>
    <col min="7429" max="7429" width="9.28515625" customWidth="1"/>
    <col min="7430" max="7430" width="11" customWidth="1"/>
    <col min="7431" max="7431" width="9.140625" customWidth="1"/>
    <col min="7432" max="7432" width="9" customWidth="1"/>
    <col min="7433" max="7433" width="10.28515625" customWidth="1"/>
    <col min="7434" max="7434" width="8.140625" customWidth="1"/>
    <col min="7435" max="7436" width="9.42578125" customWidth="1"/>
    <col min="7437" max="7438" width="10.28515625" customWidth="1"/>
    <col min="7440" max="7440" width="11.85546875" customWidth="1"/>
    <col min="7441" max="7441" width="9.7109375" customWidth="1"/>
    <col min="7442" max="7442" width="10.7109375" customWidth="1"/>
    <col min="7445" max="7445" width="11" bestFit="1" customWidth="1"/>
    <col min="7446" max="7446" width="8.85546875" bestFit="1" customWidth="1"/>
    <col min="7447" max="7447" width="10.28515625" bestFit="1" customWidth="1"/>
    <col min="7679" max="7679" width="18.85546875" customWidth="1"/>
    <col min="7680" max="7680" width="14" bestFit="1" customWidth="1"/>
    <col min="7681" max="7682" width="9.140625" customWidth="1"/>
    <col min="7683" max="7683" width="8.85546875" customWidth="1"/>
    <col min="7684" max="7684" width="9.140625" customWidth="1"/>
    <col min="7685" max="7685" width="9.28515625" customWidth="1"/>
    <col min="7686" max="7686" width="11" customWidth="1"/>
    <col min="7687" max="7687" width="9.140625" customWidth="1"/>
    <col min="7688" max="7688" width="9" customWidth="1"/>
    <col min="7689" max="7689" width="10.28515625" customWidth="1"/>
    <col min="7690" max="7690" width="8.140625" customWidth="1"/>
    <col min="7691" max="7692" width="9.42578125" customWidth="1"/>
    <col min="7693" max="7694" width="10.28515625" customWidth="1"/>
    <col min="7696" max="7696" width="11.85546875" customWidth="1"/>
    <col min="7697" max="7697" width="9.7109375" customWidth="1"/>
    <col min="7698" max="7698" width="10.7109375" customWidth="1"/>
    <col min="7701" max="7701" width="11" bestFit="1" customWidth="1"/>
    <col min="7702" max="7702" width="8.85546875" bestFit="1" customWidth="1"/>
    <col min="7703" max="7703" width="10.28515625" bestFit="1" customWidth="1"/>
    <col min="7935" max="7935" width="18.85546875" customWidth="1"/>
    <col min="7936" max="7936" width="14" bestFit="1" customWidth="1"/>
    <col min="7937" max="7938" width="9.140625" customWidth="1"/>
    <col min="7939" max="7939" width="8.85546875" customWidth="1"/>
    <col min="7940" max="7940" width="9.140625" customWidth="1"/>
    <col min="7941" max="7941" width="9.28515625" customWidth="1"/>
    <col min="7942" max="7942" width="11" customWidth="1"/>
    <col min="7943" max="7943" width="9.140625" customWidth="1"/>
    <col min="7944" max="7944" width="9" customWidth="1"/>
    <col min="7945" max="7945" width="10.28515625" customWidth="1"/>
    <col min="7946" max="7946" width="8.140625" customWidth="1"/>
    <col min="7947" max="7948" width="9.42578125" customWidth="1"/>
    <col min="7949" max="7950" width="10.28515625" customWidth="1"/>
    <col min="7952" max="7952" width="11.85546875" customWidth="1"/>
    <col min="7953" max="7953" width="9.7109375" customWidth="1"/>
    <col min="7954" max="7954" width="10.7109375" customWidth="1"/>
    <col min="7957" max="7957" width="11" bestFit="1" customWidth="1"/>
    <col min="7958" max="7958" width="8.85546875" bestFit="1" customWidth="1"/>
    <col min="7959" max="7959" width="10.28515625" bestFit="1" customWidth="1"/>
    <col min="8191" max="8191" width="18.85546875" customWidth="1"/>
    <col min="8192" max="8192" width="14" bestFit="1" customWidth="1"/>
    <col min="8193" max="8194" width="9.140625" customWidth="1"/>
    <col min="8195" max="8195" width="8.85546875" customWidth="1"/>
    <col min="8196" max="8196" width="9.140625" customWidth="1"/>
    <col min="8197" max="8197" width="9.28515625" customWidth="1"/>
    <col min="8198" max="8198" width="11" customWidth="1"/>
    <col min="8199" max="8199" width="9.140625" customWidth="1"/>
    <col min="8200" max="8200" width="9" customWidth="1"/>
    <col min="8201" max="8201" width="10.28515625" customWidth="1"/>
    <col min="8202" max="8202" width="8.140625" customWidth="1"/>
    <col min="8203" max="8204" width="9.42578125" customWidth="1"/>
    <col min="8205" max="8206" width="10.28515625" customWidth="1"/>
    <col min="8208" max="8208" width="11.85546875" customWidth="1"/>
    <col min="8209" max="8209" width="9.7109375" customWidth="1"/>
    <col min="8210" max="8210" width="10.7109375" customWidth="1"/>
    <col min="8213" max="8213" width="11" bestFit="1" customWidth="1"/>
    <col min="8214" max="8214" width="8.85546875" bestFit="1" customWidth="1"/>
    <col min="8215" max="8215" width="10.28515625" bestFit="1" customWidth="1"/>
    <col min="8447" max="8447" width="18.85546875" customWidth="1"/>
    <col min="8448" max="8448" width="14" bestFit="1" customWidth="1"/>
    <col min="8449" max="8450" width="9.140625" customWidth="1"/>
    <col min="8451" max="8451" width="8.85546875" customWidth="1"/>
    <col min="8452" max="8452" width="9.140625" customWidth="1"/>
    <col min="8453" max="8453" width="9.28515625" customWidth="1"/>
    <col min="8454" max="8454" width="11" customWidth="1"/>
    <col min="8455" max="8455" width="9.140625" customWidth="1"/>
    <col min="8456" max="8456" width="9" customWidth="1"/>
    <col min="8457" max="8457" width="10.28515625" customWidth="1"/>
    <col min="8458" max="8458" width="8.140625" customWidth="1"/>
    <col min="8459" max="8460" width="9.42578125" customWidth="1"/>
    <col min="8461" max="8462" width="10.28515625" customWidth="1"/>
    <col min="8464" max="8464" width="11.85546875" customWidth="1"/>
    <col min="8465" max="8465" width="9.7109375" customWidth="1"/>
    <col min="8466" max="8466" width="10.7109375" customWidth="1"/>
    <col min="8469" max="8469" width="11" bestFit="1" customWidth="1"/>
    <col min="8470" max="8470" width="8.85546875" bestFit="1" customWidth="1"/>
    <col min="8471" max="8471" width="10.28515625" bestFit="1" customWidth="1"/>
    <col min="8703" max="8703" width="18.85546875" customWidth="1"/>
    <col min="8704" max="8704" width="14" bestFit="1" customWidth="1"/>
    <col min="8705" max="8706" width="9.140625" customWidth="1"/>
    <col min="8707" max="8707" width="8.85546875" customWidth="1"/>
    <col min="8708" max="8708" width="9.140625" customWidth="1"/>
    <col min="8709" max="8709" width="9.28515625" customWidth="1"/>
    <col min="8710" max="8710" width="11" customWidth="1"/>
    <col min="8711" max="8711" width="9.140625" customWidth="1"/>
    <col min="8712" max="8712" width="9" customWidth="1"/>
    <col min="8713" max="8713" width="10.28515625" customWidth="1"/>
    <col min="8714" max="8714" width="8.140625" customWidth="1"/>
    <col min="8715" max="8716" width="9.42578125" customWidth="1"/>
    <col min="8717" max="8718" width="10.28515625" customWidth="1"/>
    <col min="8720" max="8720" width="11.85546875" customWidth="1"/>
    <col min="8721" max="8721" width="9.7109375" customWidth="1"/>
    <col min="8722" max="8722" width="10.7109375" customWidth="1"/>
    <col min="8725" max="8725" width="11" bestFit="1" customWidth="1"/>
    <col min="8726" max="8726" width="8.85546875" bestFit="1" customWidth="1"/>
    <col min="8727" max="8727" width="10.28515625" bestFit="1" customWidth="1"/>
    <col min="8959" max="8959" width="18.85546875" customWidth="1"/>
    <col min="8960" max="8960" width="14" bestFit="1" customWidth="1"/>
    <col min="8961" max="8962" width="9.140625" customWidth="1"/>
    <col min="8963" max="8963" width="8.85546875" customWidth="1"/>
    <col min="8964" max="8964" width="9.140625" customWidth="1"/>
    <col min="8965" max="8965" width="9.28515625" customWidth="1"/>
    <col min="8966" max="8966" width="11" customWidth="1"/>
    <col min="8967" max="8967" width="9.140625" customWidth="1"/>
    <col min="8968" max="8968" width="9" customWidth="1"/>
    <col min="8969" max="8969" width="10.28515625" customWidth="1"/>
    <col min="8970" max="8970" width="8.140625" customWidth="1"/>
    <col min="8971" max="8972" width="9.42578125" customWidth="1"/>
    <col min="8973" max="8974" width="10.28515625" customWidth="1"/>
    <col min="8976" max="8976" width="11.85546875" customWidth="1"/>
    <col min="8977" max="8977" width="9.7109375" customWidth="1"/>
    <col min="8978" max="8978" width="10.7109375" customWidth="1"/>
    <col min="8981" max="8981" width="11" bestFit="1" customWidth="1"/>
    <col min="8982" max="8982" width="8.85546875" bestFit="1" customWidth="1"/>
    <col min="8983" max="8983" width="10.28515625" bestFit="1" customWidth="1"/>
    <col min="9215" max="9215" width="18.85546875" customWidth="1"/>
    <col min="9216" max="9216" width="14" bestFit="1" customWidth="1"/>
    <col min="9217" max="9218" width="9.140625" customWidth="1"/>
    <col min="9219" max="9219" width="8.85546875" customWidth="1"/>
    <col min="9220" max="9220" width="9.140625" customWidth="1"/>
    <col min="9221" max="9221" width="9.28515625" customWidth="1"/>
    <col min="9222" max="9222" width="11" customWidth="1"/>
    <col min="9223" max="9223" width="9.140625" customWidth="1"/>
    <col min="9224" max="9224" width="9" customWidth="1"/>
    <col min="9225" max="9225" width="10.28515625" customWidth="1"/>
    <col min="9226" max="9226" width="8.140625" customWidth="1"/>
    <col min="9227" max="9228" width="9.42578125" customWidth="1"/>
    <col min="9229" max="9230" width="10.28515625" customWidth="1"/>
    <col min="9232" max="9232" width="11.85546875" customWidth="1"/>
    <col min="9233" max="9233" width="9.7109375" customWidth="1"/>
    <col min="9234" max="9234" width="10.7109375" customWidth="1"/>
    <col min="9237" max="9237" width="11" bestFit="1" customWidth="1"/>
    <col min="9238" max="9238" width="8.85546875" bestFit="1" customWidth="1"/>
    <col min="9239" max="9239" width="10.28515625" bestFit="1" customWidth="1"/>
    <col min="9471" max="9471" width="18.85546875" customWidth="1"/>
    <col min="9472" max="9472" width="14" bestFit="1" customWidth="1"/>
    <col min="9473" max="9474" width="9.140625" customWidth="1"/>
    <col min="9475" max="9475" width="8.85546875" customWidth="1"/>
    <col min="9476" max="9476" width="9.140625" customWidth="1"/>
    <col min="9477" max="9477" width="9.28515625" customWidth="1"/>
    <col min="9478" max="9478" width="11" customWidth="1"/>
    <col min="9479" max="9479" width="9.140625" customWidth="1"/>
    <col min="9480" max="9480" width="9" customWidth="1"/>
    <col min="9481" max="9481" width="10.28515625" customWidth="1"/>
    <col min="9482" max="9482" width="8.140625" customWidth="1"/>
    <col min="9483" max="9484" width="9.42578125" customWidth="1"/>
    <col min="9485" max="9486" width="10.28515625" customWidth="1"/>
    <col min="9488" max="9488" width="11.85546875" customWidth="1"/>
    <col min="9489" max="9489" width="9.7109375" customWidth="1"/>
    <col min="9490" max="9490" width="10.7109375" customWidth="1"/>
    <col min="9493" max="9493" width="11" bestFit="1" customWidth="1"/>
    <col min="9494" max="9494" width="8.85546875" bestFit="1" customWidth="1"/>
    <col min="9495" max="9495" width="10.28515625" bestFit="1" customWidth="1"/>
    <col min="9727" max="9727" width="18.85546875" customWidth="1"/>
    <col min="9728" max="9728" width="14" bestFit="1" customWidth="1"/>
    <col min="9729" max="9730" width="9.140625" customWidth="1"/>
    <col min="9731" max="9731" width="8.85546875" customWidth="1"/>
    <col min="9732" max="9732" width="9.140625" customWidth="1"/>
    <col min="9733" max="9733" width="9.28515625" customWidth="1"/>
    <col min="9734" max="9734" width="11" customWidth="1"/>
    <col min="9735" max="9735" width="9.140625" customWidth="1"/>
    <col min="9736" max="9736" width="9" customWidth="1"/>
    <col min="9737" max="9737" width="10.28515625" customWidth="1"/>
    <col min="9738" max="9738" width="8.140625" customWidth="1"/>
    <col min="9739" max="9740" width="9.42578125" customWidth="1"/>
    <col min="9741" max="9742" width="10.28515625" customWidth="1"/>
    <col min="9744" max="9744" width="11.85546875" customWidth="1"/>
    <col min="9745" max="9745" width="9.7109375" customWidth="1"/>
    <col min="9746" max="9746" width="10.7109375" customWidth="1"/>
    <col min="9749" max="9749" width="11" bestFit="1" customWidth="1"/>
    <col min="9750" max="9750" width="8.85546875" bestFit="1" customWidth="1"/>
    <col min="9751" max="9751" width="10.28515625" bestFit="1" customWidth="1"/>
    <col min="9983" max="9983" width="18.85546875" customWidth="1"/>
    <col min="9984" max="9984" width="14" bestFit="1" customWidth="1"/>
    <col min="9985" max="9986" width="9.140625" customWidth="1"/>
    <col min="9987" max="9987" width="8.85546875" customWidth="1"/>
    <col min="9988" max="9988" width="9.140625" customWidth="1"/>
    <col min="9989" max="9989" width="9.28515625" customWidth="1"/>
    <col min="9990" max="9990" width="11" customWidth="1"/>
    <col min="9991" max="9991" width="9.140625" customWidth="1"/>
    <col min="9992" max="9992" width="9" customWidth="1"/>
    <col min="9993" max="9993" width="10.28515625" customWidth="1"/>
    <col min="9994" max="9994" width="8.140625" customWidth="1"/>
    <col min="9995" max="9996" width="9.42578125" customWidth="1"/>
    <col min="9997" max="9998" width="10.28515625" customWidth="1"/>
    <col min="10000" max="10000" width="11.85546875" customWidth="1"/>
    <col min="10001" max="10001" width="9.7109375" customWidth="1"/>
    <col min="10002" max="10002" width="10.7109375" customWidth="1"/>
    <col min="10005" max="10005" width="11" bestFit="1" customWidth="1"/>
    <col min="10006" max="10006" width="8.85546875" bestFit="1" customWidth="1"/>
    <col min="10007" max="10007" width="10.28515625" bestFit="1" customWidth="1"/>
    <col min="10239" max="10239" width="18.85546875" customWidth="1"/>
    <col min="10240" max="10240" width="14" bestFit="1" customWidth="1"/>
    <col min="10241" max="10242" width="9.140625" customWidth="1"/>
    <col min="10243" max="10243" width="8.85546875" customWidth="1"/>
    <col min="10244" max="10244" width="9.140625" customWidth="1"/>
    <col min="10245" max="10245" width="9.28515625" customWidth="1"/>
    <col min="10246" max="10246" width="11" customWidth="1"/>
    <col min="10247" max="10247" width="9.140625" customWidth="1"/>
    <col min="10248" max="10248" width="9" customWidth="1"/>
    <col min="10249" max="10249" width="10.28515625" customWidth="1"/>
    <col min="10250" max="10250" width="8.140625" customWidth="1"/>
    <col min="10251" max="10252" width="9.42578125" customWidth="1"/>
    <col min="10253" max="10254" width="10.28515625" customWidth="1"/>
    <col min="10256" max="10256" width="11.85546875" customWidth="1"/>
    <col min="10257" max="10257" width="9.7109375" customWidth="1"/>
    <col min="10258" max="10258" width="10.7109375" customWidth="1"/>
    <col min="10261" max="10261" width="11" bestFit="1" customWidth="1"/>
    <col min="10262" max="10262" width="8.85546875" bestFit="1" customWidth="1"/>
    <col min="10263" max="10263" width="10.28515625" bestFit="1" customWidth="1"/>
    <col min="10495" max="10495" width="18.85546875" customWidth="1"/>
    <col min="10496" max="10496" width="14" bestFit="1" customWidth="1"/>
    <col min="10497" max="10498" width="9.140625" customWidth="1"/>
    <col min="10499" max="10499" width="8.85546875" customWidth="1"/>
    <col min="10500" max="10500" width="9.140625" customWidth="1"/>
    <col min="10501" max="10501" width="9.28515625" customWidth="1"/>
    <col min="10502" max="10502" width="11" customWidth="1"/>
    <col min="10503" max="10503" width="9.140625" customWidth="1"/>
    <col min="10504" max="10504" width="9" customWidth="1"/>
    <col min="10505" max="10505" width="10.28515625" customWidth="1"/>
    <col min="10506" max="10506" width="8.140625" customWidth="1"/>
    <col min="10507" max="10508" width="9.42578125" customWidth="1"/>
    <col min="10509" max="10510" width="10.28515625" customWidth="1"/>
    <col min="10512" max="10512" width="11.85546875" customWidth="1"/>
    <col min="10513" max="10513" width="9.7109375" customWidth="1"/>
    <col min="10514" max="10514" width="10.7109375" customWidth="1"/>
    <col min="10517" max="10517" width="11" bestFit="1" customWidth="1"/>
    <col min="10518" max="10518" width="8.85546875" bestFit="1" customWidth="1"/>
    <col min="10519" max="10519" width="10.28515625" bestFit="1" customWidth="1"/>
    <col min="10751" max="10751" width="18.85546875" customWidth="1"/>
    <col min="10752" max="10752" width="14" bestFit="1" customWidth="1"/>
    <col min="10753" max="10754" width="9.140625" customWidth="1"/>
    <col min="10755" max="10755" width="8.85546875" customWidth="1"/>
    <col min="10756" max="10756" width="9.140625" customWidth="1"/>
    <col min="10757" max="10757" width="9.28515625" customWidth="1"/>
    <col min="10758" max="10758" width="11" customWidth="1"/>
    <col min="10759" max="10759" width="9.140625" customWidth="1"/>
    <col min="10760" max="10760" width="9" customWidth="1"/>
    <col min="10761" max="10761" width="10.28515625" customWidth="1"/>
    <col min="10762" max="10762" width="8.140625" customWidth="1"/>
    <col min="10763" max="10764" width="9.42578125" customWidth="1"/>
    <col min="10765" max="10766" width="10.28515625" customWidth="1"/>
    <col min="10768" max="10768" width="11.85546875" customWidth="1"/>
    <col min="10769" max="10769" width="9.7109375" customWidth="1"/>
    <col min="10770" max="10770" width="10.7109375" customWidth="1"/>
    <col min="10773" max="10773" width="11" bestFit="1" customWidth="1"/>
    <col min="10774" max="10774" width="8.85546875" bestFit="1" customWidth="1"/>
    <col min="10775" max="10775" width="10.28515625" bestFit="1" customWidth="1"/>
    <col min="11007" max="11007" width="18.85546875" customWidth="1"/>
    <col min="11008" max="11008" width="14" bestFit="1" customWidth="1"/>
    <col min="11009" max="11010" width="9.140625" customWidth="1"/>
    <col min="11011" max="11011" width="8.85546875" customWidth="1"/>
    <col min="11012" max="11012" width="9.140625" customWidth="1"/>
    <col min="11013" max="11013" width="9.28515625" customWidth="1"/>
    <col min="11014" max="11014" width="11" customWidth="1"/>
    <col min="11015" max="11015" width="9.140625" customWidth="1"/>
    <col min="11016" max="11016" width="9" customWidth="1"/>
    <col min="11017" max="11017" width="10.28515625" customWidth="1"/>
    <col min="11018" max="11018" width="8.140625" customWidth="1"/>
    <col min="11019" max="11020" width="9.42578125" customWidth="1"/>
    <col min="11021" max="11022" width="10.28515625" customWidth="1"/>
    <col min="11024" max="11024" width="11.85546875" customWidth="1"/>
    <col min="11025" max="11025" width="9.7109375" customWidth="1"/>
    <col min="11026" max="11026" width="10.7109375" customWidth="1"/>
    <col min="11029" max="11029" width="11" bestFit="1" customWidth="1"/>
    <col min="11030" max="11030" width="8.85546875" bestFit="1" customWidth="1"/>
    <col min="11031" max="11031" width="10.28515625" bestFit="1" customWidth="1"/>
    <col min="11263" max="11263" width="18.85546875" customWidth="1"/>
    <col min="11264" max="11264" width="14" bestFit="1" customWidth="1"/>
    <col min="11265" max="11266" width="9.140625" customWidth="1"/>
    <col min="11267" max="11267" width="8.85546875" customWidth="1"/>
    <col min="11268" max="11268" width="9.140625" customWidth="1"/>
    <col min="11269" max="11269" width="9.28515625" customWidth="1"/>
    <col min="11270" max="11270" width="11" customWidth="1"/>
    <col min="11271" max="11271" width="9.140625" customWidth="1"/>
    <col min="11272" max="11272" width="9" customWidth="1"/>
    <col min="11273" max="11273" width="10.28515625" customWidth="1"/>
    <col min="11274" max="11274" width="8.140625" customWidth="1"/>
    <col min="11275" max="11276" width="9.42578125" customWidth="1"/>
    <col min="11277" max="11278" width="10.28515625" customWidth="1"/>
    <col min="11280" max="11280" width="11.85546875" customWidth="1"/>
    <col min="11281" max="11281" width="9.7109375" customWidth="1"/>
    <col min="11282" max="11282" width="10.7109375" customWidth="1"/>
    <col min="11285" max="11285" width="11" bestFit="1" customWidth="1"/>
    <col min="11286" max="11286" width="8.85546875" bestFit="1" customWidth="1"/>
    <col min="11287" max="11287" width="10.28515625" bestFit="1" customWidth="1"/>
    <col min="11519" max="11519" width="18.85546875" customWidth="1"/>
    <col min="11520" max="11520" width="14" bestFit="1" customWidth="1"/>
    <col min="11521" max="11522" width="9.140625" customWidth="1"/>
    <col min="11523" max="11523" width="8.85546875" customWidth="1"/>
    <col min="11524" max="11524" width="9.140625" customWidth="1"/>
    <col min="11525" max="11525" width="9.28515625" customWidth="1"/>
    <col min="11526" max="11526" width="11" customWidth="1"/>
    <col min="11527" max="11527" width="9.140625" customWidth="1"/>
    <col min="11528" max="11528" width="9" customWidth="1"/>
    <col min="11529" max="11529" width="10.28515625" customWidth="1"/>
    <col min="11530" max="11530" width="8.140625" customWidth="1"/>
    <col min="11531" max="11532" width="9.42578125" customWidth="1"/>
    <col min="11533" max="11534" width="10.28515625" customWidth="1"/>
    <col min="11536" max="11536" width="11.85546875" customWidth="1"/>
    <col min="11537" max="11537" width="9.7109375" customWidth="1"/>
    <col min="11538" max="11538" width="10.7109375" customWidth="1"/>
    <col min="11541" max="11541" width="11" bestFit="1" customWidth="1"/>
    <col min="11542" max="11542" width="8.85546875" bestFit="1" customWidth="1"/>
    <col min="11543" max="11543" width="10.28515625" bestFit="1" customWidth="1"/>
    <col min="11775" max="11775" width="18.85546875" customWidth="1"/>
    <col min="11776" max="11776" width="14" bestFit="1" customWidth="1"/>
    <col min="11777" max="11778" width="9.140625" customWidth="1"/>
    <col min="11779" max="11779" width="8.85546875" customWidth="1"/>
    <col min="11780" max="11780" width="9.140625" customWidth="1"/>
    <col min="11781" max="11781" width="9.28515625" customWidth="1"/>
    <col min="11782" max="11782" width="11" customWidth="1"/>
    <col min="11783" max="11783" width="9.140625" customWidth="1"/>
    <col min="11784" max="11784" width="9" customWidth="1"/>
    <col min="11785" max="11785" width="10.28515625" customWidth="1"/>
    <col min="11786" max="11786" width="8.140625" customWidth="1"/>
    <col min="11787" max="11788" width="9.42578125" customWidth="1"/>
    <col min="11789" max="11790" width="10.28515625" customWidth="1"/>
    <col min="11792" max="11792" width="11.85546875" customWidth="1"/>
    <col min="11793" max="11793" width="9.7109375" customWidth="1"/>
    <col min="11794" max="11794" width="10.7109375" customWidth="1"/>
    <col min="11797" max="11797" width="11" bestFit="1" customWidth="1"/>
    <col min="11798" max="11798" width="8.85546875" bestFit="1" customWidth="1"/>
    <col min="11799" max="11799" width="10.28515625" bestFit="1" customWidth="1"/>
    <col min="12031" max="12031" width="18.85546875" customWidth="1"/>
    <col min="12032" max="12032" width="14" bestFit="1" customWidth="1"/>
    <col min="12033" max="12034" width="9.140625" customWidth="1"/>
    <col min="12035" max="12035" width="8.85546875" customWidth="1"/>
    <col min="12036" max="12036" width="9.140625" customWidth="1"/>
    <col min="12037" max="12037" width="9.28515625" customWidth="1"/>
    <col min="12038" max="12038" width="11" customWidth="1"/>
    <col min="12039" max="12039" width="9.140625" customWidth="1"/>
    <col min="12040" max="12040" width="9" customWidth="1"/>
    <col min="12041" max="12041" width="10.28515625" customWidth="1"/>
    <col min="12042" max="12042" width="8.140625" customWidth="1"/>
    <col min="12043" max="12044" width="9.42578125" customWidth="1"/>
    <col min="12045" max="12046" width="10.28515625" customWidth="1"/>
    <col min="12048" max="12048" width="11.85546875" customWidth="1"/>
    <col min="12049" max="12049" width="9.7109375" customWidth="1"/>
    <col min="12050" max="12050" width="10.7109375" customWidth="1"/>
    <col min="12053" max="12053" width="11" bestFit="1" customWidth="1"/>
    <col min="12054" max="12054" width="8.85546875" bestFit="1" customWidth="1"/>
    <col min="12055" max="12055" width="10.28515625" bestFit="1" customWidth="1"/>
    <col min="12287" max="12287" width="18.85546875" customWidth="1"/>
    <col min="12288" max="12288" width="14" bestFit="1" customWidth="1"/>
    <col min="12289" max="12290" width="9.140625" customWidth="1"/>
    <col min="12291" max="12291" width="8.85546875" customWidth="1"/>
    <col min="12292" max="12292" width="9.140625" customWidth="1"/>
    <col min="12293" max="12293" width="9.28515625" customWidth="1"/>
    <col min="12294" max="12294" width="11" customWidth="1"/>
    <col min="12295" max="12295" width="9.140625" customWidth="1"/>
    <col min="12296" max="12296" width="9" customWidth="1"/>
    <col min="12297" max="12297" width="10.28515625" customWidth="1"/>
    <col min="12298" max="12298" width="8.140625" customWidth="1"/>
    <col min="12299" max="12300" width="9.42578125" customWidth="1"/>
    <col min="12301" max="12302" width="10.28515625" customWidth="1"/>
    <col min="12304" max="12304" width="11.85546875" customWidth="1"/>
    <col min="12305" max="12305" width="9.7109375" customWidth="1"/>
    <col min="12306" max="12306" width="10.7109375" customWidth="1"/>
    <col min="12309" max="12309" width="11" bestFit="1" customWidth="1"/>
    <col min="12310" max="12310" width="8.85546875" bestFit="1" customWidth="1"/>
    <col min="12311" max="12311" width="10.28515625" bestFit="1" customWidth="1"/>
    <col min="12543" max="12543" width="18.85546875" customWidth="1"/>
    <col min="12544" max="12544" width="14" bestFit="1" customWidth="1"/>
    <col min="12545" max="12546" width="9.140625" customWidth="1"/>
    <col min="12547" max="12547" width="8.85546875" customWidth="1"/>
    <col min="12548" max="12548" width="9.140625" customWidth="1"/>
    <col min="12549" max="12549" width="9.28515625" customWidth="1"/>
    <col min="12550" max="12550" width="11" customWidth="1"/>
    <col min="12551" max="12551" width="9.140625" customWidth="1"/>
    <col min="12552" max="12552" width="9" customWidth="1"/>
    <col min="12553" max="12553" width="10.28515625" customWidth="1"/>
    <col min="12554" max="12554" width="8.140625" customWidth="1"/>
    <col min="12555" max="12556" width="9.42578125" customWidth="1"/>
    <col min="12557" max="12558" width="10.28515625" customWidth="1"/>
    <col min="12560" max="12560" width="11.85546875" customWidth="1"/>
    <col min="12561" max="12561" width="9.7109375" customWidth="1"/>
    <col min="12562" max="12562" width="10.7109375" customWidth="1"/>
    <col min="12565" max="12565" width="11" bestFit="1" customWidth="1"/>
    <col min="12566" max="12566" width="8.85546875" bestFit="1" customWidth="1"/>
    <col min="12567" max="12567" width="10.28515625" bestFit="1" customWidth="1"/>
    <col min="12799" max="12799" width="18.85546875" customWidth="1"/>
    <col min="12800" max="12800" width="14" bestFit="1" customWidth="1"/>
    <col min="12801" max="12802" width="9.140625" customWidth="1"/>
    <col min="12803" max="12803" width="8.85546875" customWidth="1"/>
    <col min="12804" max="12804" width="9.140625" customWidth="1"/>
    <col min="12805" max="12805" width="9.28515625" customWidth="1"/>
    <col min="12806" max="12806" width="11" customWidth="1"/>
    <col min="12807" max="12807" width="9.140625" customWidth="1"/>
    <col min="12808" max="12808" width="9" customWidth="1"/>
    <col min="12809" max="12809" width="10.28515625" customWidth="1"/>
    <col min="12810" max="12810" width="8.140625" customWidth="1"/>
    <col min="12811" max="12812" width="9.42578125" customWidth="1"/>
    <col min="12813" max="12814" width="10.28515625" customWidth="1"/>
    <col min="12816" max="12816" width="11.85546875" customWidth="1"/>
    <col min="12817" max="12817" width="9.7109375" customWidth="1"/>
    <col min="12818" max="12818" width="10.7109375" customWidth="1"/>
    <col min="12821" max="12821" width="11" bestFit="1" customWidth="1"/>
    <col min="12822" max="12822" width="8.85546875" bestFit="1" customWidth="1"/>
    <col min="12823" max="12823" width="10.28515625" bestFit="1" customWidth="1"/>
    <col min="13055" max="13055" width="18.85546875" customWidth="1"/>
    <col min="13056" max="13056" width="14" bestFit="1" customWidth="1"/>
    <col min="13057" max="13058" width="9.140625" customWidth="1"/>
    <col min="13059" max="13059" width="8.85546875" customWidth="1"/>
    <col min="13060" max="13060" width="9.140625" customWidth="1"/>
    <col min="13061" max="13061" width="9.28515625" customWidth="1"/>
    <col min="13062" max="13062" width="11" customWidth="1"/>
    <col min="13063" max="13063" width="9.140625" customWidth="1"/>
    <col min="13064" max="13064" width="9" customWidth="1"/>
    <col min="13065" max="13065" width="10.28515625" customWidth="1"/>
    <col min="13066" max="13066" width="8.140625" customWidth="1"/>
    <col min="13067" max="13068" width="9.42578125" customWidth="1"/>
    <col min="13069" max="13070" width="10.28515625" customWidth="1"/>
    <col min="13072" max="13072" width="11.85546875" customWidth="1"/>
    <col min="13073" max="13073" width="9.7109375" customWidth="1"/>
    <col min="13074" max="13074" width="10.7109375" customWidth="1"/>
    <col min="13077" max="13077" width="11" bestFit="1" customWidth="1"/>
    <col min="13078" max="13078" width="8.85546875" bestFit="1" customWidth="1"/>
    <col min="13079" max="13079" width="10.28515625" bestFit="1" customWidth="1"/>
    <col min="13311" max="13311" width="18.85546875" customWidth="1"/>
    <col min="13312" max="13312" width="14" bestFit="1" customWidth="1"/>
    <col min="13313" max="13314" width="9.140625" customWidth="1"/>
    <col min="13315" max="13315" width="8.85546875" customWidth="1"/>
    <col min="13316" max="13316" width="9.140625" customWidth="1"/>
    <col min="13317" max="13317" width="9.28515625" customWidth="1"/>
    <col min="13318" max="13318" width="11" customWidth="1"/>
    <col min="13319" max="13319" width="9.140625" customWidth="1"/>
    <col min="13320" max="13320" width="9" customWidth="1"/>
    <col min="13321" max="13321" width="10.28515625" customWidth="1"/>
    <col min="13322" max="13322" width="8.140625" customWidth="1"/>
    <col min="13323" max="13324" width="9.42578125" customWidth="1"/>
    <col min="13325" max="13326" width="10.28515625" customWidth="1"/>
    <col min="13328" max="13328" width="11.85546875" customWidth="1"/>
    <col min="13329" max="13329" width="9.7109375" customWidth="1"/>
    <col min="13330" max="13330" width="10.7109375" customWidth="1"/>
    <col min="13333" max="13333" width="11" bestFit="1" customWidth="1"/>
    <col min="13334" max="13334" width="8.85546875" bestFit="1" customWidth="1"/>
    <col min="13335" max="13335" width="10.28515625" bestFit="1" customWidth="1"/>
    <col min="13567" max="13567" width="18.85546875" customWidth="1"/>
    <col min="13568" max="13568" width="14" bestFit="1" customWidth="1"/>
    <col min="13569" max="13570" width="9.140625" customWidth="1"/>
    <col min="13571" max="13571" width="8.85546875" customWidth="1"/>
    <col min="13572" max="13572" width="9.140625" customWidth="1"/>
    <col min="13573" max="13573" width="9.28515625" customWidth="1"/>
    <col min="13574" max="13574" width="11" customWidth="1"/>
    <col min="13575" max="13575" width="9.140625" customWidth="1"/>
    <col min="13576" max="13576" width="9" customWidth="1"/>
    <col min="13577" max="13577" width="10.28515625" customWidth="1"/>
    <col min="13578" max="13578" width="8.140625" customWidth="1"/>
    <col min="13579" max="13580" width="9.42578125" customWidth="1"/>
    <col min="13581" max="13582" width="10.28515625" customWidth="1"/>
    <col min="13584" max="13584" width="11.85546875" customWidth="1"/>
    <col min="13585" max="13585" width="9.7109375" customWidth="1"/>
    <col min="13586" max="13586" width="10.7109375" customWidth="1"/>
    <col min="13589" max="13589" width="11" bestFit="1" customWidth="1"/>
    <col min="13590" max="13590" width="8.85546875" bestFit="1" customWidth="1"/>
    <col min="13591" max="13591" width="10.28515625" bestFit="1" customWidth="1"/>
    <col min="13823" max="13823" width="18.85546875" customWidth="1"/>
    <col min="13824" max="13824" width="14" bestFit="1" customWidth="1"/>
    <col min="13825" max="13826" width="9.140625" customWidth="1"/>
    <col min="13827" max="13827" width="8.85546875" customWidth="1"/>
    <col min="13828" max="13828" width="9.140625" customWidth="1"/>
    <col min="13829" max="13829" width="9.28515625" customWidth="1"/>
    <col min="13830" max="13830" width="11" customWidth="1"/>
    <col min="13831" max="13831" width="9.140625" customWidth="1"/>
    <col min="13832" max="13832" width="9" customWidth="1"/>
    <col min="13833" max="13833" width="10.28515625" customWidth="1"/>
    <col min="13834" max="13834" width="8.140625" customWidth="1"/>
    <col min="13835" max="13836" width="9.42578125" customWidth="1"/>
    <col min="13837" max="13838" width="10.28515625" customWidth="1"/>
    <col min="13840" max="13840" width="11.85546875" customWidth="1"/>
    <col min="13841" max="13841" width="9.7109375" customWidth="1"/>
    <col min="13842" max="13842" width="10.7109375" customWidth="1"/>
    <col min="13845" max="13845" width="11" bestFit="1" customWidth="1"/>
    <col min="13846" max="13846" width="8.85546875" bestFit="1" customWidth="1"/>
    <col min="13847" max="13847" width="10.28515625" bestFit="1" customWidth="1"/>
    <col min="14079" max="14079" width="18.85546875" customWidth="1"/>
    <col min="14080" max="14080" width="14" bestFit="1" customWidth="1"/>
    <col min="14081" max="14082" width="9.140625" customWidth="1"/>
    <col min="14083" max="14083" width="8.85546875" customWidth="1"/>
    <col min="14084" max="14084" width="9.140625" customWidth="1"/>
    <col min="14085" max="14085" width="9.28515625" customWidth="1"/>
    <col min="14086" max="14086" width="11" customWidth="1"/>
    <col min="14087" max="14087" width="9.140625" customWidth="1"/>
    <col min="14088" max="14088" width="9" customWidth="1"/>
    <col min="14089" max="14089" width="10.28515625" customWidth="1"/>
    <col min="14090" max="14090" width="8.140625" customWidth="1"/>
    <col min="14091" max="14092" width="9.42578125" customWidth="1"/>
    <col min="14093" max="14094" width="10.28515625" customWidth="1"/>
    <col min="14096" max="14096" width="11.85546875" customWidth="1"/>
    <col min="14097" max="14097" width="9.7109375" customWidth="1"/>
    <col min="14098" max="14098" width="10.7109375" customWidth="1"/>
    <col min="14101" max="14101" width="11" bestFit="1" customWidth="1"/>
    <col min="14102" max="14102" width="8.85546875" bestFit="1" customWidth="1"/>
    <col min="14103" max="14103" width="10.28515625" bestFit="1" customWidth="1"/>
    <col min="14335" max="14335" width="18.85546875" customWidth="1"/>
    <col min="14336" max="14336" width="14" bestFit="1" customWidth="1"/>
    <col min="14337" max="14338" width="9.140625" customWidth="1"/>
    <col min="14339" max="14339" width="8.85546875" customWidth="1"/>
    <col min="14340" max="14340" width="9.140625" customWidth="1"/>
    <col min="14341" max="14341" width="9.28515625" customWidth="1"/>
    <col min="14342" max="14342" width="11" customWidth="1"/>
    <col min="14343" max="14343" width="9.140625" customWidth="1"/>
    <col min="14344" max="14344" width="9" customWidth="1"/>
    <col min="14345" max="14345" width="10.28515625" customWidth="1"/>
    <col min="14346" max="14346" width="8.140625" customWidth="1"/>
    <col min="14347" max="14348" width="9.42578125" customWidth="1"/>
    <col min="14349" max="14350" width="10.28515625" customWidth="1"/>
    <col min="14352" max="14352" width="11.85546875" customWidth="1"/>
    <col min="14353" max="14353" width="9.7109375" customWidth="1"/>
    <col min="14354" max="14354" width="10.7109375" customWidth="1"/>
    <col min="14357" max="14357" width="11" bestFit="1" customWidth="1"/>
    <col min="14358" max="14358" width="8.85546875" bestFit="1" customWidth="1"/>
    <col min="14359" max="14359" width="10.28515625" bestFit="1" customWidth="1"/>
    <col min="14591" max="14591" width="18.85546875" customWidth="1"/>
    <col min="14592" max="14592" width="14" bestFit="1" customWidth="1"/>
    <col min="14593" max="14594" width="9.140625" customWidth="1"/>
    <col min="14595" max="14595" width="8.85546875" customWidth="1"/>
    <col min="14596" max="14596" width="9.140625" customWidth="1"/>
    <col min="14597" max="14597" width="9.28515625" customWidth="1"/>
    <col min="14598" max="14598" width="11" customWidth="1"/>
    <col min="14599" max="14599" width="9.140625" customWidth="1"/>
    <col min="14600" max="14600" width="9" customWidth="1"/>
    <col min="14601" max="14601" width="10.28515625" customWidth="1"/>
    <col min="14602" max="14602" width="8.140625" customWidth="1"/>
    <col min="14603" max="14604" width="9.42578125" customWidth="1"/>
    <col min="14605" max="14606" width="10.28515625" customWidth="1"/>
    <col min="14608" max="14608" width="11.85546875" customWidth="1"/>
    <col min="14609" max="14609" width="9.7109375" customWidth="1"/>
    <col min="14610" max="14610" width="10.7109375" customWidth="1"/>
    <col min="14613" max="14613" width="11" bestFit="1" customWidth="1"/>
    <col min="14614" max="14614" width="8.85546875" bestFit="1" customWidth="1"/>
    <col min="14615" max="14615" width="10.28515625" bestFit="1" customWidth="1"/>
    <col min="14847" max="14847" width="18.85546875" customWidth="1"/>
    <col min="14848" max="14848" width="14" bestFit="1" customWidth="1"/>
    <col min="14849" max="14850" width="9.140625" customWidth="1"/>
    <col min="14851" max="14851" width="8.85546875" customWidth="1"/>
    <col min="14852" max="14852" width="9.140625" customWidth="1"/>
    <col min="14853" max="14853" width="9.28515625" customWidth="1"/>
    <col min="14854" max="14854" width="11" customWidth="1"/>
    <col min="14855" max="14855" width="9.140625" customWidth="1"/>
    <col min="14856" max="14856" width="9" customWidth="1"/>
    <col min="14857" max="14857" width="10.28515625" customWidth="1"/>
    <col min="14858" max="14858" width="8.140625" customWidth="1"/>
    <col min="14859" max="14860" width="9.42578125" customWidth="1"/>
    <col min="14861" max="14862" width="10.28515625" customWidth="1"/>
    <col min="14864" max="14864" width="11.85546875" customWidth="1"/>
    <col min="14865" max="14865" width="9.7109375" customWidth="1"/>
    <col min="14866" max="14866" width="10.7109375" customWidth="1"/>
    <col min="14869" max="14869" width="11" bestFit="1" customWidth="1"/>
    <col min="14870" max="14870" width="8.85546875" bestFit="1" customWidth="1"/>
    <col min="14871" max="14871" width="10.28515625" bestFit="1" customWidth="1"/>
    <col min="15103" max="15103" width="18.85546875" customWidth="1"/>
    <col min="15104" max="15104" width="14" bestFit="1" customWidth="1"/>
    <col min="15105" max="15106" width="9.140625" customWidth="1"/>
    <col min="15107" max="15107" width="8.85546875" customWidth="1"/>
    <col min="15108" max="15108" width="9.140625" customWidth="1"/>
    <col min="15109" max="15109" width="9.28515625" customWidth="1"/>
    <col min="15110" max="15110" width="11" customWidth="1"/>
    <col min="15111" max="15111" width="9.140625" customWidth="1"/>
    <col min="15112" max="15112" width="9" customWidth="1"/>
    <col min="15113" max="15113" width="10.28515625" customWidth="1"/>
    <col min="15114" max="15114" width="8.140625" customWidth="1"/>
    <col min="15115" max="15116" width="9.42578125" customWidth="1"/>
    <col min="15117" max="15118" width="10.28515625" customWidth="1"/>
    <col min="15120" max="15120" width="11.85546875" customWidth="1"/>
    <col min="15121" max="15121" width="9.7109375" customWidth="1"/>
    <col min="15122" max="15122" width="10.7109375" customWidth="1"/>
    <col min="15125" max="15125" width="11" bestFit="1" customWidth="1"/>
    <col min="15126" max="15126" width="8.85546875" bestFit="1" customWidth="1"/>
    <col min="15127" max="15127" width="10.28515625" bestFit="1" customWidth="1"/>
    <col min="15359" max="15359" width="18.85546875" customWidth="1"/>
    <col min="15360" max="15360" width="14" bestFit="1" customWidth="1"/>
    <col min="15361" max="15362" width="9.140625" customWidth="1"/>
    <col min="15363" max="15363" width="8.85546875" customWidth="1"/>
    <col min="15364" max="15364" width="9.140625" customWidth="1"/>
    <col min="15365" max="15365" width="9.28515625" customWidth="1"/>
    <col min="15366" max="15366" width="11" customWidth="1"/>
    <col min="15367" max="15367" width="9.140625" customWidth="1"/>
    <col min="15368" max="15368" width="9" customWidth="1"/>
    <col min="15369" max="15369" width="10.28515625" customWidth="1"/>
    <col min="15370" max="15370" width="8.140625" customWidth="1"/>
    <col min="15371" max="15372" width="9.42578125" customWidth="1"/>
    <col min="15373" max="15374" width="10.28515625" customWidth="1"/>
    <col min="15376" max="15376" width="11.85546875" customWidth="1"/>
    <col min="15377" max="15377" width="9.7109375" customWidth="1"/>
    <col min="15378" max="15378" width="10.7109375" customWidth="1"/>
    <col min="15381" max="15381" width="11" bestFit="1" customWidth="1"/>
    <col min="15382" max="15382" width="8.85546875" bestFit="1" customWidth="1"/>
    <col min="15383" max="15383" width="10.28515625" bestFit="1" customWidth="1"/>
    <col min="15615" max="15615" width="18.85546875" customWidth="1"/>
    <col min="15616" max="15616" width="14" bestFit="1" customWidth="1"/>
    <col min="15617" max="15618" width="9.140625" customWidth="1"/>
    <col min="15619" max="15619" width="8.85546875" customWidth="1"/>
    <col min="15620" max="15620" width="9.140625" customWidth="1"/>
    <col min="15621" max="15621" width="9.28515625" customWidth="1"/>
    <col min="15622" max="15622" width="11" customWidth="1"/>
    <col min="15623" max="15623" width="9.140625" customWidth="1"/>
    <col min="15624" max="15624" width="9" customWidth="1"/>
    <col min="15625" max="15625" width="10.28515625" customWidth="1"/>
    <col min="15626" max="15626" width="8.140625" customWidth="1"/>
    <col min="15627" max="15628" width="9.42578125" customWidth="1"/>
    <col min="15629" max="15630" width="10.28515625" customWidth="1"/>
    <col min="15632" max="15632" width="11.85546875" customWidth="1"/>
    <col min="15633" max="15633" width="9.7109375" customWidth="1"/>
    <col min="15634" max="15634" width="10.7109375" customWidth="1"/>
    <col min="15637" max="15637" width="11" bestFit="1" customWidth="1"/>
    <col min="15638" max="15638" width="8.85546875" bestFit="1" customWidth="1"/>
    <col min="15639" max="15639" width="10.28515625" bestFit="1" customWidth="1"/>
    <col min="15871" max="15871" width="18.85546875" customWidth="1"/>
    <col min="15872" max="15872" width="14" bestFit="1" customWidth="1"/>
    <col min="15873" max="15874" width="9.140625" customWidth="1"/>
    <col min="15875" max="15875" width="8.85546875" customWidth="1"/>
    <col min="15876" max="15876" width="9.140625" customWidth="1"/>
    <col min="15877" max="15877" width="9.28515625" customWidth="1"/>
    <col min="15878" max="15878" width="11" customWidth="1"/>
    <col min="15879" max="15879" width="9.140625" customWidth="1"/>
    <col min="15880" max="15880" width="9" customWidth="1"/>
    <col min="15881" max="15881" width="10.28515625" customWidth="1"/>
    <col min="15882" max="15882" width="8.140625" customWidth="1"/>
    <col min="15883" max="15884" width="9.42578125" customWidth="1"/>
    <col min="15885" max="15886" width="10.28515625" customWidth="1"/>
    <col min="15888" max="15888" width="11.85546875" customWidth="1"/>
    <col min="15889" max="15889" width="9.7109375" customWidth="1"/>
    <col min="15890" max="15890" width="10.7109375" customWidth="1"/>
    <col min="15893" max="15893" width="11" bestFit="1" customWidth="1"/>
    <col min="15894" max="15894" width="8.85546875" bestFit="1" customWidth="1"/>
    <col min="15895" max="15895" width="10.28515625" bestFit="1" customWidth="1"/>
    <col min="16127" max="16127" width="18.85546875" customWidth="1"/>
    <col min="16128" max="16128" width="14" bestFit="1" customWidth="1"/>
    <col min="16129" max="16130" width="9.140625" customWidth="1"/>
    <col min="16131" max="16131" width="8.85546875" customWidth="1"/>
    <col min="16132" max="16132" width="9.140625" customWidth="1"/>
    <col min="16133" max="16133" width="9.28515625" customWidth="1"/>
    <col min="16134" max="16134" width="11" customWidth="1"/>
    <col min="16135" max="16135" width="9.140625" customWidth="1"/>
    <col min="16136" max="16136" width="9" customWidth="1"/>
    <col min="16137" max="16137" width="10.28515625" customWidth="1"/>
    <col min="16138" max="16138" width="8.140625" customWidth="1"/>
    <col min="16139" max="16140" width="9.42578125" customWidth="1"/>
    <col min="16141" max="16142" width="10.28515625" customWidth="1"/>
    <col min="16144" max="16144" width="11.85546875" customWidth="1"/>
    <col min="16145" max="16145" width="9.7109375" customWidth="1"/>
    <col min="16146" max="16146" width="10.7109375" customWidth="1"/>
    <col min="16149" max="16149" width="11" bestFit="1" customWidth="1"/>
    <col min="16150" max="16150" width="8.85546875" bestFit="1" customWidth="1"/>
    <col min="16151" max="16151" width="10.28515625" bestFit="1" customWidth="1"/>
  </cols>
  <sheetData>
    <row r="1" spans="2:24" ht="6.75" customHeight="1" thickBot="1" x14ac:dyDescent="0.3">
      <c r="C1" s="113"/>
      <c r="D1" s="114"/>
      <c r="E1" s="114"/>
      <c r="F1" s="114"/>
      <c r="G1" s="114"/>
      <c r="I1" s="115"/>
    </row>
    <row r="2" spans="2:24" s="116" customFormat="1" ht="23.25" x14ac:dyDescent="0.25">
      <c r="C2" s="331" t="s">
        <v>730</v>
      </c>
      <c r="D2" s="332"/>
      <c r="E2" s="332"/>
      <c r="F2" s="332"/>
      <c r="G2" s="332"/>
      <c r="H2" s="332"/>
      <c r="I2" s="333"/>
      <c r="J2" s="340" t="s">
        <v>749</v>
      </c>
      <c r="K2" s="341"/>
      <c r="L2" s="341"/>
      <c r="M2" s="341"/>
      <c r="N2" s="341"/>
      <c r="O2" s="341"/>
      <c r="P2" s="341"/>
      <c r="Q2" s="341"/>
    </row>
    <row r="3" spans="2:24" s="116" customFormat="1" ht="39" thickBot="1" x14ac:dyDescent="0.3">
      <c r="C3" s="174" t="s">
        <v>20</v>
      </c>
      <c r="D3" s="165" t="s">
        <v>731</v>
      </c>
      <c r="E3" s="165" t="s">
        <v>732</v>
      </c>
      <c r="F3" s="165" t="s">
        <v>733</v>
      </c>
      <c r="G3" s="165" t="s">
        <v>734</v>
      </c>
      <c r="H3" s="165" t="s">
        <v>735</v>
      </c>
      <c r="I3" s="166" t="s">
        <v>34</v>
      </c>
      <c r="K3" s="334" t="s">
        <v>787</v>
      </c>
      <c r="L3" s="335"/>
      <c r="M3" s="335"/>
      <c r="N3" s="335"/>
      <c r="O3" s="335"/>
      <c r="P3" s="336"/>
      <c r="Q3" s="125"/>
    </row>
    <row r="4" spans="2:24" s="116" customFormat="1" ht="15.75" thickBot="1" x14ac:dyDescent="0.3">
      <c r="C4" s="175" t="s">
        <v>95</v>
      </c>
      <c r="D4" s="176">
        <v>38</v>
      </c>
      <c r="E4" s="176">
        <v>28</v>
      </c>
      <c r="F4" s="176">
        <v>28</v>
      </c>
      <c r="G4" s="177">
        <f>IF(OR(D4="",E4="",F4=""),"",D4+(F4-E4)*(3+LOG(D4/(100-D4))*3))</f>
        <v>38</v>
      </c>
      <c r="H4" s="193">
        <v>-8</v>
      </c>
      <c r="I4" s="178" t="s">
        <v>107</v>
      </c>
      <c r="K4" s="337"/>
      <c r="L4" s="338"/>
      <c r="M4" s="338"/>
      <c r="N4" s="338"/>
      <c r="O4" s="338"/>
      <c r="P4" s="339"/>
      <c r="Q4" s="125"/>
    </row>
    <row r="5" spans="2:24" ht="5.25" customHeight="1" thickBot="1" x14ac:dyDescent="0.3">
      <c r="K5" s="128"/>
      <c r="L5" s="128"/>
      <c r="M5" s="124"/>
      <c r="N5" s="124"/>
      <c r="O5" s="124"/>
      <c r="P5" s="124"/>
      <c r="Q5" s="128"/>
    </row>
    <row r="6" spans="2:24" ht="19.5" customHeight="1" thickBot="1" x14ac:dyDescent="0.3">
      <c r="B6" s="144"/>
      <c r="C6" s="332" t="s">
        <v>737</v>
      </c>
      <c r="D6" s="332"/>
      <c r="E6" s="332"/>
      <c r="F6" s="332"/>
      <c r="G6" s="332"/>
      <c r="H6" s="332"/>
      <c r="I6" s="333"/>
      <c r="J6" s="331" t="s">
        <v>711</v>
      </c>
      <c r="K6" s="332"/>
      <c r="L6" s="332"/>
      <c r="M6" s="332"/>
      <c r="N6" s="332"/>
      <c r="O6" s="332"/>
      <c r="P6" s="332"/>
      <c r="Q6" s="333"/>
    </row>
    <row r="7" spans="2:24" s="126" customFormat="1" ht="39" thickBot="1" x14ac:dyDescent="0.3">
      <c r="B7" s="164" t="s">
        <v>120</v>
      </c>
      <c r="C7" s="165" t="s">
        <v>750</v>
      </c>
      <c r="D7" s="165" t="s">
        <v>222</v>
      </c>
      <c r="E7" s="165" t="s">
        <v>755</v>
      </c>
      <c r="F7" s="165" t="s">
        <v>99</v>
      </c>
      <c r="G7" s="165" t="s">
        <v>100</v>
      </c>
      <c r="H7" s="165" t="s">
        <v>221</v>
      </c>
      <c r="I7" s="166" t="s">
        <v>753</v>
      </c>
      <c r="J7" s="167" t="s">
        <v>228</v>
      </c>
      <c r="K7" s="165" t="s">
        <v>181</v>
      </c>
      <c r="L7" s="165" t="s">
        <v>182</v>
      </c>
      <c r="M7" s="165" t="s">
        <v>738</v>
      </c>
      <c r="N7" s="165" t="s">
        <v>739</v>
      </c>
      <c r="O7" s="165" t="s">
        <v>740</v>
      </c>
      <c r="P7" s="165" t="s">
        <v>183</v>
      </c>
      <c r="Q7" s="166" t="s">
        <v>736</v>
      </c>
      <c r="X7" s="127"/>
    </row>
    <row r="8" spans="2:24" x14ac:dyDescent="0.25">
      <c r="B8" s="161" t="s">
        <v>696</v>
      </c>
      <c r="C8" s="158" t="s">
        <v>138</v>
      </c>
      <c r="D8" s="137"/>
      <c r="E8" s="138">
        <v>29</v>
      </c>
      <c r="F8" s="139" t="s">
        <v>110</v>
      </c>
      <c r="G8" s="137">
        <v>90</v>
      </c>
      <c r="H8" s="140"/>
      <c r="I8" s="141" t="s">
        <v>102</v>
      </c>
      <c r="J8" s="180">
        <f>IF(OR(B8="",C8="",E8="",F8="",G8="",I8=""),"",26/(VLOOKUP(IF(B8=Fournisseurs!$B$29,Autre_Tube_Fût,C8),shaft,3,FALSE)*(1+((E8-VLOOKUP(F8,insert,2,FALSE))-29)/29*2.8)*(1+(G8+VLOOKUP(F8,insert,3,FALSE)-125-VLOOKUP(I8,empenage,2,FALSE)-H8)/125*0.4)))</f>
        <v>70.328487051389459</v>
      </c>
      <c r="K8" s="146">
        <f>IF(OR(B8="",C8="",E8="",F8="",G8="",I8=""),"",(VLOOKUP(IF(B8=Fournisseurs!$B$29,Autre_Tube_Fût,C8),shaft,7,FALSE))*E8+(E8-VLOOKUP(F8,insert,2,FALSE)-0.25)*D8+G8+VLOOKUP(F8,insert,3,FALSE)+VLOOKUP(I8,empenage,2,FALSE)+H8+10)</f>
        <v>417.79</v>
      </c>
      <c r="L8" s="147">
        <f>IF(OR(B8="",C8="",E8="",F8="",G8="",I8=""),"",((E8/2)-Param_DSC!C67)/E8*100)</f>
        <v>12.812079323798219</v>
      </c>
      <c r="M8" s="147">
        <f>IF(OR(K8="",$G$4=""),"",K8/$G$4)</f>
        <v>10.994473684210528</v>
      </c>
      <c r="N8" s="147">
        <f t="shared" ref="N8:N17" si="0">IF(K8="","",K8*Pouce_Gramme)</f>
        <v>27.072336608900002</v>
      </c>
      <c r="O8" s="148">
        <f>IF(OR(K8="",$I$4=""),"",200/(LOG(K8/(VLOOKUP($C$4,DSC_Type_Arc,2,FALSE)*($D$4+($F$4-$E$4)*(3+LOG($D$4/(100-$D$4))*3))*(VLOOKUP($I$4,corde,2,FALSE)-0.05)),10))-20)</f>
        <v>174.48873018121469</v>
      </c>
      <c r="P8" s="148">
        <f>IF(OR(K8="",O8=""),"",(K8/451080)*(O8*O8))</f>
        <v>28.199358789624885</v>
      </c>
      <c r="Q8" s="149">
        <f>IF(OR($C$4="",$G$4="",$H$4="",$I$4="",B8="",C8=""),"",$G$4*VLOOKUP($I$4,corde,2,FALSE)*VLOOKUP($C$4,Arc,2,FALSE)+(0.0006*$H$4^3+0.0425*$H$4^2-2.5475*$H$4+5.6107)-VLOOKUP(VLOOKUP(IF(B8=Fournisseurs!$B$29,Autre_Tube_Fût,C8),shaft,6,FALSE),diam,2,FALSE))</f>
        <v>70.500500000000002</v>
      </c>
    </row>
    <row r="9" spans="2:24" x14ac:dyDescent="0.25">
      <c r="B9" s="162" t="s">
        <v>696</v>
      </c>
      <c r="C9" s="159" t="s">
        <v>137</v>
      </c>
      <c r="D9" s="131"/>
      <c r="E9" s="132">
        <v>29</v>
      </c>
      <c r="F9" s="133" t="s">
        <v>110</v>
      </c>
      <c r="G9" s="131">
        <v>40</v>
      </c>
      <c r="H9" s="129"/>
      <c r="I9" s="142" t="s">
        <v>102</v>
      </c>
      <c r="J9" s="179">
        <f>IF(OR(B9="",C9="",E9="",F9="",G9="",I9=""),"",26/(VLOOKUP(IF(B9=Fournisseurs!$B$29,Autre_Tube_Fût,C9),shaft,3,FALSE)*(1+((E9-VLOOKUP(F9,insert,2,FALSE))-29)/29*2.8)*(1+(G9+VLOOKUP(F9,insert,3,FALSE)-125-VLOOKUP(I9,empenage,2,FALSE)-H9)/125*0.4)))</f>
        <v>71.915516925637775</v>
      </c>
      <c r="K9" s="150">
        <f>IF(OR(B9="",C9="",E9="",F9="",G9="",I9=""),"",(VLOOKUP(IF(B9=Fournisseurs!$B$29,Autre_Tube_Fût,C9),shaft,7,FALSE))*E9+(E9-VLOOKUP(F9,insert,2,FALSE)-0.25)*D9+G9+VLOOKUP(F9,insert,3,FALSE)+VLOOKUP(I9,empenage,2,FALSE)+H9+10)</f>
        <v>356.19000000000005</v>
      </c>
      <c r="L9" s="151">
        <f>IF(OR(B9="",C9="",E9="",F9="",G9="",I9=""),"",((E9/2)-Param_DSC!C68)/E9*100)</f>
        <v>8.0090923964447551</v>
      </c>
      <c r="M9" s="151">
        <f t="shared" ref="M9:M17" si="1">IF(OR(K9="",$G$4=""),"",K9/$G$4)</f>
        <v>9.3734210526315795</v>
      </c>
      <c r="N9" s="151">
        <f t="shared" si="0"/>
        <v>23.080723752900003</v>
      </c>
      <c r="O9" s="152">
        <f t="shared" ref="O9:O17" si="2">IF(K9="","",200/(LOG(K9/(VLOOKUP($C$4,DSC_Type_Arc,2,FALSE)*($D$4+($F$4-$E$4)*(3+LOG($D$4/(100-$D$4))*3))*(VLOOKUP($I$4,corde,2,FALSE)-0.05)),10))-20)</f>
        <v>188.53733037144482</v>
      </c>
      <c r="P9" s="152">
        <f t="shared" ref="P9:P17" si="3">IF(K9="","",(K9/451080)*(O9*O9))</f>
        <v>28.068736103701781</v>
      </c>
      <c r="Q9" s="153">
        <f>IF(OR($C$4="",$G$4="",$H$4="",$I$4="",B9="",C9=""),"",$G$4*VLOOKUP($I$4,corde,2,FALSE)*VLOOKUP($C$4,Arc,2,FALSE)+(0.0006*$H$4^3+0.0425*$H$4^2-2.5475*$H$4+5.6107)-VLOOKUP(VLOOKUP(IF(B9=Fournisseurs!$B$29,Autre_Tube_Fût,C9),shaft,6,FALSE),diam,2,FALSE))</f>
        <v>71.500500000000002</v>
      </c>
    </row>
    <row r="10" spans="2:24" x14ac:dyDescent="0.25">
      <c r="B10" s="162" t="s">
        <v>488</v>
      </c>
      <c r="C10" s="159" t="s">
        <v>491</v>
      </c>
      <c r="D10" s="131"/>
      <c r="E10" s="132">
        <v>29</v>
      </c>
      <c r="F10" s="133" t="s">
        <v>110</v>
      </c>
      <c r="G10" s="131">
        <v>80</v>
      </c>
      <c r="H10" s="129"/>
      <c r="I10" s="142" t="s">
        <v>102</v>
      </c>
      <c r="J10" s="179">
        <f>IF(OR(B10="",C10="",E10="",F10="",G10="",I10=""),"",26/(VLOOKUP(IF(B10=Fournisseurs!$B$29,Autre_Tube_Fût,C10),shaft,3,FALSE)*(1+((E10-VLOOKUP(F10,insert,2,FALSE))-29)/29*2.8)*(1+(G10+VLOOKUP(F10,insert,3,FALSE)-125-VLOOKUP(I10,empenage,2,FALSE)-H10)/125*0.4)))</f>
        <v>72.176510432281788</v>
      </c>
      <c r="K10" s="150">
        <f>IF(OR(B10="",C10="",E10="",F10="",G10="",I10=""),"",(VLOOKUP(IF(B10=Fournisseurs!$B$29,Autre_Tube_Fût,C10),shaft,7,FALSE))*E10+(E10-VLOOKUP(F10,insert,2,FALSE)-0.25)*D10+G10+VLOOKUP(F10,insert,3,FALSE)+VLOOKUP(I10,empenage,2,FALSE)+H10+10)</f>
        <v>355.30000000000007</v>
      </c>
      <c r="L10" s="151">
        <f>IF(OR(B10="",C10="",E10="",F10="",G10="",I10=""),"",((E10/2)-Param_DSC!C69)/E10*100)</f>
        <v>13.658200452264724</v>
      </c>
      <c r="M10" s="151">
        <f t="shared" si="1"/>
        <v>9.3500000000000014</v>
      </c>
      <c r="N10" s="151">
        <f t="shared" si="0"/>
        <v>23.023052723000006</v>
      </c>
      <c r="O10" s="152">
        <f t="shared" si="2"/>
        <v>188.77384916329342</v>
      </c>
      <c r="P10" s="152">
        <f t="shared" si="3"/>
        <v>28.068893866391903</v>
      </c>
      <c r="Q10" s="153">
        <f>IF(OR($C$4="",$G$4="",$H$4="",$I$4="",B10="",C10=""),"",$G$4*VLOOKUP($I$4,corde,2,FALSE)*VLOOKUP($C$4,Arc,2,FALSE)+(0.0006*$H$4^3+0.0425*$H$4^2-2.5475*$H$4+5.6107)-VLOOKUP(VLOOKUP(IF(B10=Fournisseurs!$B$29,Autre_Tube_Fût,C10),shaft,6,FALSE),diam,2,FALSE))</f>
        <v>72.500500000000002</v>
      </c>
    </row>
    <row r="11" spans="2:24" x14ac:dyDescent="0.25">
      <c r="B11" s="162" t="s">
        <v>597</v>
      </c>
      <c r="C11" s="159" t="s">
        <v>636</v>
      </c>
      <c r="D11" s="131"/>
      <c r="E11" s="132">
        <v>29</v>
      </c>
      <c r="F11" s="133" t="s">
        <v>110</v>
      </c>
      <c r="G11" s="131">
        <v>85</v>
      </c>
      <c r="H11" s="129"/>
      <c r="I11" s="142" t="s">
        <v>102</v>
      </c>
      <c r="J11" s="179">
        <f>IF(OR(B11="",C11="",E11="",F11="",G11="",I11=""),"",26/(VLOOKUP(IF(B11=Fournisseurs!$B$29,Autre_Tube_Fût,C11),shaft,3,FALSE)*(1+((E11-VLOOKUP(F11,insert,2,FALSE))-29)/29*2.8)*(1+(G11+VLOOKUP(F11,insert,3,FALSE)-125-VLOOKUP(I11,empenage,2,FALSE)-H11)/125*0.4)))</f>
        <v>70.877904631053255</v>
      </c>
      <c r="K11" s="150">
        <f>IF(OR(B11="",C11="",E11="",F11="",G11="",I11=""),"",(VLOOKUP(IF(B11=Fournisseurs!$B$29,Autre_Tube_Fût,C11),shaft,7,FALSE))*E11+(E11-VLOOKUP(F11,insert,2,FALSE)-0.25)*D11+G11+VLOOKUP(F11,insert,3,FALSE)+VLOOKUP(I11,empenage,2,FALSE)+H11+10)</f>
        <v>320.28000000000003</v>
      </c>
      <c r="L11" s="151">
        <f>IF(OR(B11="",C11="",E11="",F11="",G11="",I11=""),"",((E11/2)-Param_DSC!C70)/E11*100)</f>
        <v>15.932180032127061</v>
      </c>
      <c r="M11" s="151">
        <f t="shared" si="1"/>
        <v>8.4284210526315793</v>
      </c>
      <c r="N11" s="151">
        <f t="shared" si="0"/>
        <v>20.753794894800002</v>
      </c>
      <c r="O11" s="152">
        <f t="shared" si="2"/>
        <v>199.07988674198512</v>
      </c>
      <c r="P11" s="152">
        <f t="shared" si="3"/>
        <v>28.140448705395887</v>
      </c>
      <c r="Q11" s="153">
        <f>IF(OR($C$4="",$G$4="",$H$4="",$I$4="",B11="",C11=""),"",$G$4*VLOOKUP($I$4,corde,2,FALSE)*VLOOKUP($C$4,Arc,2,FALSE)+(0.0006*$H$4^3+0.0425*$H$4^2-2.5475*$H$4+5.6107)-VLOOKUP(VLOOKUP(IF(B11=Fournisseurs!$B$29,Autre_Tube_Fût,C11),shaft,6,FALSE),diam,2,FALSE))</f>
        <v>71.500500000000002</v>
      </c>
    </row>
    <row r="12" spans="2:24" x14ac:dyDescent="0.25">
      <c r="B12" s="162" t="s">
        <v>130</v>
      </c>
      <c r="C12" s="159" t="s">
        <v>176</v>
      </c>
      <c r="D12" s="131"/>
      <c r="E12" s="132">
        <v>29</v>
      </c>
      <c r="F12" s="133" t="s">
        <v>110</v>
      </c>
      <c r="G12" s="131">
        <v>85</v>
      </c>
      <c r="H12" s="129"/>
      <c r="I12" s="142" t="s">
        <v>102</v>
      </c>
      <c r="J12" s="179">
        <f>IF(OR(B12="",C12="",E12="",F12="",G12="",I12=""),"",26/(VLOOKUP(IF(B12=Fournisseurs!$B$29,Autre_Tube_Fût,C12),shaft,3,FALSE)*(1+((E12-VLOOKUP(F12,insert,2,FALSE))-29)/29*2.8)*(1+(G12+VLOOKUP(F12,insert,3,FALSE)-125-VLOOKUP(I12,empenage,2,FALSE)-H12)/125*0.4)))</f>
        <v>70.877904631053255</v>
      </c>
      <c r="K12" s="150">
        <f>IF(OR(B12="",C12="",E12="",F12="",G12="",I12=""),"",(VLOOKUP(IF(B12=Fournisseurs!$B$29,Autre_Tube_Fût,C12),shaft,7,FALSE))*E12+(E12-VLOOKUP(F12,insert,2,FALSE)-0.25)*D12+G12+VLOOKUP(F12,insert,3,FALSE)+VLOOKUP(I12,empenage,2,FALSE)+H12+10)</f>
        <v>369</v>
      </c>
      <c r="L12" s="151">
        <f>IF(OR(B12="",C12="",E12="",F12="",G12="",I12=""),"",((E12/2)-Param_DSC!C71)/E12*100)</f>
        <v>13.82861414821045</v>
      </c>
      <c r="M12" s="151">
        <f t="shared" si="1"/>
        <v>9.7105263157894743</v>
      </c>
      <c r="N12" s="151">
        <f t="shared" si="0"/>
        <v>23.91079779</v>
      </c>
      <c r="O12" s="152">
        <f t="shared" si="2"/>
        <v>185.25334760224533</v>
      </c>
      <c r="P12" s="152">
        <f t="shared" si="3"/>
        <v>28.074040596795122</v>
      </c>
      <c r="Q12" s="153">
        <f>IF(OR($C$4="",$G$4="",$H$4="",$I$4="",B12="",C12=""),"",$G$4*VLOOKUP($I$4,corde,2,FALSE)*VLOOKUP($C$4,Arc,2,FALSE)+(0.0006*$H$4^3+0.0425*$H$4^2-2.5475*$H$4+5.6107)-VLOOKUP(VLOOKUP(IF(B12=Fournisseurs!$B$29,Autre_Tube_Fût,C12),shaft,6,FALSE),diam,2,FALSE))</f>
        <v>71.500500000000002</v>
      </c>
    </row>
    <row r="13" spans="2:24" x14ac:dyDescent="0.25">
      <c r="B13" s="162" t="s">
        <v>125</v>
      </c>
      <c r="C13" s="159" t="s">
        <v>530</v>
      </c>
      <c r="D13" s="131"/>
      <c r="E13" s="132">
        <v>29</v>
      </c>
      <c r="F13" s="133" t="s">
        <v>110</v>
      </c>
      <c r="G13" s="131">
        <v>80</v>
      </c>
      <c r="H13" s="129"/>
      <c r="I13" s="142" t="s">
        <v>102</v>
      </c>
      <c r="J13" s="179">
        <f>IF(OR(B13="",C13="",E13="",F13="",G13="",I13=""),"",26/(VLOOKUP(IF(B13=Fournisseurs!$B$29,Autre_Tube_Fût,C13),shaft,3,FALSE)*(1+((E13-VLOOKUP(F13,insert,2,FALSE))-29)/29*2.8)*(1+(G13+VLOOKUP(F13,insert,3,FALSE)-125-VLOOKUP(I13,empenage,2,FALSE)-H13)/125*0.4)))</f>
        <v>73.649500441103868</v>
      </c>
      <c r="K13" s="150">
        <f>IF(OR(B13="",C13="",E13="",F13="",G13="",I13=""),"",(VLOOKUP(IF(B13=Fournisseurs!$B$29,Autre_Tube_Fût,C13),shaft,7,FALSE))*E13+(E13-VLOOKUP(F13,insert,2,FALSE)-0.25)*D13+G13+VLOOKUP(F13,insert,3,FALSE)+VLOOKUP(I13,empenage,2,FALSE)+H13+10)</f>
        <v>372.70000000000005</v>
      </c>
      <c r="L13" s="151">
        <f>IF(OR(B13="",C13="",E13="",F13="",G13="",I13=""),"",((E13/2)-Param_DSC!C72)/E13*100)</f>
        <v>13.020549022510478</v>
      </c>
      <c r="M13" s="151">
        <f t="shared" si="1"/>
        <v>9.8078947368421066</v>
      </c>
      <c r="N13" s="151">
        <f t="shared" si="0"/>
        <v>24.150553757000004</v>
      </c>
      <c r="O13" s="152">
        <f t="shared" si="2"/>
        <v>184.34465937866085</v>
      </c>
      <c r="P13" s="152">
        <f t="shared" si="3"/>
        <v>28.078049897185942</v>
      </c>
      <c r="Q13" s="153">
        <f>IF(OR($C$4="",$G$4="",$H$4="",$I$4="",B13="",C13=""),"",$G$4*VLOOKUP($I$4,corde,2,FALSE)*VLOOKUP($C$4,Arc,2,FALSE)+(0.0006*$H$4^3+0.0425*$H$4^2-2.5475*$H$4+5.6107)-VLOOKUP(VLOOKUP(IF(B13=Fournisseurs!$B$29,Autre_Tube_Fût,C13),shaft,6,FALSE),diam,2,FALSE))</f>
        <v>73.500500000000002</v>
      </c>
    </row>
    <row r="14" spans="2:24" x14ac:dyDescent="0.25">
      <c r="B14" s="162" t="s">
        <v>744</v>
      </c>
      <c r="C14" s="159" t="s">
        <v>743</v>
      </c>
      <c r="D14" s="131"/>
      <c r="E14" s="132">
        <v>29</v>
      </c>
      <c r="F14" s="133" t="s">
        <v>109</v>
      </c>
      <c r="G14" s="131">
        <v>100</v>
      </c>
      <c r="H14" s="129"/>
      <c r="I14" s="142" t="s">
        <v>102</v>
      </c>
      <c r="J14" s="179">
        <f>IF(OR(B14="",C14="",E14="",F14="",G14="",I14=""),"",26/(VLOOKUP(IF(B14=Fournisseurs!$B$29,Autre_Tube_Fût,C14),shaft,3,FALSE)*(1+((E14-VLOOKUP(F14,insert,2,FALSE))-29)/29*2.8)*(1+(G14+VLOOKUP(F14,insert,3,FALSE)-125-VLOOKUP(I14,empenage,2,FALSE)-H14)/125*0.4)))</f>
        <v>71.370112302102228</v>
      </c>
      <c r="K14" s="150">
        <f>IF(OR(B14="",C14="",E14="",F14="",G14="",I14=""),"",(VLOOKUP(IF(B14=Fournisseurs!$B$29,Autre_Tube_Fût,C14),shaft,7,FALSE))*E14+(E14-VLOOKUP(F14,insert,2,FALSE)-0.25)*D14+G14+VLOOKUP(F14,insert,3,FALSE)+VLOOKUP(I14,empenage,2,FALSE)+H14+10)</f>
        <v>325.5</v>
      </c>
      <c r="L14" s="151">
        <f>IF(OR(B14="",C14="",E14="",F14="",G14="",I14=""),"",((E14/2)-Param_DSC!C73)/E14*100)</f>
        <v>15.676677790137191</v>
      </c>
      <c r="M14" s="151">
        <f t="shared" si="1"/>
        <v>8.5657894736842106</v>
      </c>
      <c r="N14" s="151">
        <f t="shared" si="0"/>
        <v>21.092045205000002</v>
      </c>
      <c r="O14" s="152">
        <f t="shared" si="2"/>
        <v>197.40780569900343</v>
      </c>
      <c r="P14" s="152">
        <f t="shared" si="3"/>
        <v>28.120695863076357</v>
      </c>
      <c r="Q14" s="153">
        <f>IF(OR($C$4="",$G$4="",$H$4="",$I$4="",B14="",C14=""),"",$G$4*VLOOKUP($I$4,corde,2,FALSE)*VLOOKUP($C$4,Arc,2,FALSE)+(0.0006*$H$4^3+0.0425*$H$4^2-2.5475*$H$4+5.6107)-VLOOKUP(VLOOKUP(IF(B14=Fournisseurs!$B$29,Autre_Tube_Fût,C14),shaft,6,FALSE),diam,2,FALSE))</f>
        <v>70.500500000000002</v>
      </c>
    </row>
    <row r="15" spans="2:24" x14ac:dyDescent="0.25">
      <c r="B15" s="162" t="s">
        <v>821</v>
      </c>
      <c r="C15" s="159" t="s">
        <v>840</v>
      </c>
      <c r="D15" s="131"/>
      <c r="E15" s="132">
        <v>29</v>
      </c>
      <c r="F15" s="133" t="s">
        <v>110</v>
      </c>
      <c r="G15" s="131">
        <v>80</v>
      </c>
      <c r="H15" s="129"/>
      <c r="I15" s="142" t="s">
        <v>102</v>
      </c>
      <c r="J15" s="179">
        <f>IF(OR(B15="",C15="",E15="",F15="",G15="",I15=""),"",26/(VLOOKUP(IF(B15=Fournisseurs!$B$29,Autre_Tube_Fût,C15),shaft,3,FALSE)*(1+((E15-VLOOKUP(F15,insert,2,FALSE))-29)/29*2.8)*(1+(G15+VLOOKUP(F15,insert,3,FALSE)-125-VLOOKUP(I15,empenage,2,FALSE)-H15)/125*0.4)))</f>
        <v>72.176510432281788</v>
      </c>
      <c r="K15" s="150">
        <f>IF(OR(B15="",C15="",E15="",F15="",G15="",I15=""),"",(VLOOKUP(IF(B15=Fournisseurs!$B$29,Autre_Tube_Fût,C15),shaft,7,FALSE))*E15+(E15-VLOOKUP(F15,insert,2,FALSE)-0.25)*D15+G15+VLOOKUP(F15,insert,3,FALSE)+VLOOKUP(I15,empenage,2,FALSE)+H15+10)</f>
        <v>390.1</v>
      </c>
      <c r="L15" s="151">
        <f>IF(OR(B15="",C15="",E15="",F15="",G15="",I15=""),"",((E15/2)-Param_DSC!C73)/E15*100)</f>
        <v>15.676677790137191</v>
      </c>
      <c r="M15" s="151">
        <f t="shared" ref="M15" si="4">IF(OR(K15="",$G$4=""),"",K15/$G$4)</f>
        <v>10.265789473684212</v>
      </c>
      <c r="N15" s="151">
        <f t="shared" si="0"/>
        <v>25.278054791000002</v>
      </c>
      <c r="O15" s="152">
        <f t="shared" si="2"/>
        <v>180.28939233663598</v>
      </c>
      <c r="P15" s="152">
        <f t="shared" ref="P15" si="5">IF(K15="","",(K15/451080)*(O15*O15))</f>
        <v>28.110121868079187</v>
      </c>
      <c r="Q15" s="153">
        <f>IF(OR($C$4="",$G$4="",$H$4="",$I$4="",B15="",C15=""),"",$G$4*VLOOKUP($I$4,corde,2,FALSE)*VLOOKUP($C$4,Arc,2,FALSE)+(0.0006*$H$4^3+0.0425*$H$4^2-2.5475*$H$4+5.6107)-VLOOKUP(VLOOKUP(IF(B15=Fournisseurs!$B$29,Autre_Tube_Fût,C15),shaft,6,FALSE),diam,2,FALSE))</f>
        <v>71.500500000000002</v>
      </c>
    </row>
    <row r="16" spans="2:24" x14ac:dyDescent="0.25">
      <c r="B16" s="162"/>
      <c r="C16" s="159"/>
      <c r="D16" s="131"/>
      <c r="E16" s="132"/>
      <c r="F16" s="133"/>
      <c r="G16" s="131"/>
      <c r="H16" s="129"/>
      <c r="I16" s="142"/>
      <c r="J16" s="179" t="str">
        <f>IF(OR(B16="",C16="",E16="",F16="",G16="",I16=""),"",26/(VLOOKUP(IF(B16=Fournisseurs!$B$29,Autre_Tube_Fût,C16),shaft,3,FALSE)*(1+((E16-VLOOKUP(F16,insert,2,FALSE))-29)/29*2.8)*(1+(G16+VLOOKUP(F16,insert,3,FALSE)-125-VLOOKUP(I16,empenage,2,FALSE)-H16)/125*0.4)))</f>
        <v/>
      </c>
      <c r="K16" s="150" t="str">
        <f>IF(OR(B16="",C16="",E16="",F16="",G16="",I16=""),"",(VLOOKUP(IF(B16=Fournisseurs!$B$29,Autre_Tube_Fût,C16),shaft,7,FALSE))*E16+(E16-VLOOKUP(F16,insert,2,FALSE)-0.25)*D16+G16+VLOOKUP(F16,insert,3,FALSE)+VLOOKUP(I16,empenage,2,FALSE)+H16+10)</f>
        <v/>
      </c>
      <c r="L16" s="151" t="str">
        <f>IF(OR(B16="",C16="",E16="",F16="",G16="",I16=""),"",((E16/2)-Param_DSC!C74)/E16*100)</f>
        <v/>
      </c>
      <c r="M16" s="151" t="str">
        <f t="shared" si="1"/>
        <v/>
      </c>
      <c r="N16" s="151" t="str">
        <f t="shared" si="0"/>
        <v/>
      </c>
      <c r="O16" s="152" t="str">
        <f t="shared" si="2"/>
        <v/>
      </c>
      <c r="P16" s="152" t="str">
        <f t="shared" si="3"/>
        <v/>
      </c>
      <c r="Q16" s="153" t="str">
        <f>IF(OR($C$4="",$G$4="",$H$4="",$I$4="",B16="",C16=""),"",$G$4*VLOOKUP($I$4,corde,2,FALSE)*VLOOKUP($C$4,Arc,2,FALSE)+(0.0006*$H$4^3+0.0425*$H$4^2-2.5475*$H$4+5.6107)-VLOOKUP(VLOOKUP(IF(B16=Fournisseurs!$B$29,Autre_Tube_Fût,C16),shaft,6,FALSE),diam,2,FALSE))</f>
        <v/>
      </c>
    </row>
    <row r="17" spans="2:17" ht="15.75" thickBot="1" x14ac:dyDescent="0.3">
      <c r="B17" s="163"/>
      <c r="C17" s="160"/>
      <c r="D17" s="134"/>
      <c r="E17" s="135"/>
      <c r="F17" s="136"/>
      <c r="G17" s="134"/>
      <c r="H17" s="130"/>
      <c r="I17" s="143"/>
      <c r="J17" s="181" t="str">
        <f>IF(OR(B17="",C17="",E17="",F17="",G17="",I17=""),"",26/(VLOOKUP(IF(B17=Fournisseurs!$B$29,Autre_Tube_Fût,C17),shaft,3,FALSE)*(1+((E17-VLOOKUP(F17,insert,2,FALSE))-29)/29*2.8)*(1+(G17+VLOOKUP(F17,insert,3,FALSE)-125-VLOOKUP(I17,empenage,2,FALSE)-H17)/125*0.4)))</f>
        <v/>
      </c>
      <c r="K17" s="154" t="str">
        <f>IF(OR(B17="",C17="",E17="",F17="",G17="",I17=""),"",(VLOOKUP(IF(B17=Fournisseurs!$B$29,Autre_Tube_Fût,C17),shaft,7,FALSE))*E17+(E17-VLOOKUP(F17,insert,2,FALSE)-0.25)*D17+G17+VLOOKUP(F17,insert,3,FALSE)+VLOOKUP(I17,empenage,2,FALSE)+H17+10)</f>
        <v/>
      </c>
      <c r="L17" s="155" t="str">
        <f>IF(OR(B17="",C17="",E17="",F17="",G17="",I17=""),"",((E17/2)-Param_DSC!C75)/E17*100)</f>
        <v/>
      </c>
      <c r="M17" s="156" t="str">
        <f t="shared" si="1"/>
        <v/>
      </c>
      <c r="N17" s="155" t="str">
        <f t="shared" si="0"/>
        <v/>
      </c>
      <c r="O17" s="156" t="str">
        <f t="shared" si="2"/>
        <v/>
      </c>
      <c r="P17" s="156" t="str">
        <f t="shared" si="3"/>
        <v/>
      </c>
      <c r="Q17" s="157" t="str">
        <f>IF(OR($C$4="",$G$4="",$H$4="",$I$4="",B17="",C17=""),"",$G$4*VLOOKUP($I$4,corde,2,FALSE)*VLOOKUP($C$4,Arc,2,FALSE)+(0.0006*$H$4^3+0.0425*$H$4^2-2.5475*$H$4+5.6107)-VLOOKUP(VLOOKUP(IF(B17=Fournisseurs!$B$29,Autre_Tube_Fût,C17),shaft,6,FALSE),diam,2,FALSE))</f>
        <v/>
      </c>
    </row>
    <row r="18" spans="2:17" ht="26.25" customHeight="1" thickBot="1" x14ac:dyDescent="0.3">
      <c r="B18" s="329" t="s">
        <v>786</v>
      </c>
      <c r="C18" s="329"/>
      <c r="D18" s="329"/>
      <c r="E18" s="168" t="s">
        <v>20</v>
      </c>
      <c r="F18" s="168" t="s">
        <v>852</v>
      </c>
      <c r="G18" s="168" t="s">
        <v>851</v>
      </c>
      <c r="H18" s="168" t="s">
        <v>510</v>
      </c>
      <c r="I18" s="169" t="s">
        <v>754</v>
      </c>
    </row>
    <row r="19" spans="2:17" ht="15.75" thickBot="1" x14ac:dyDescent="0.3">
      <c r="B19" s="330"/>
      <c r="C19" s="330"/>
      <c r="D19" s="330"/>
      <c r="E19" s="170" t="s">
        <v>308</v>
      </c>
      <c r="F19" s="171">
        <v>0.4</v>
      </c>
      <c r="G19" s="145">
        <f>IF(OR(E19="",F19=""),"",IF(E19="Tube",26/(F19*0.825),26/F19))</f>
        <v>65</v>
      </c>
      <c r="H19" s="172">
        <v>7.1</v>
      </c>
      <c r="I19" s="173">
        <v>20</v>
      </c>
      <c r="L19" s="194"/>
      <c r="Q19" s="124"/>
    </row>
    <row r="20" spans="2:17" ht="4.5" customHeight="1" x14ac:dyDescent="0.25"/>
    <row r="21" spans="2:17" s="116" customFormat="1" ht="12" customHeight="1" x14ac:dyDescent="0.2">
      <c r="B21" s="328" t="s">
        <v>788</v>
      </c>
      <c r="C21" s="328"/>
      <c r="D21" s="328"/>
      <c r="E21" s="328"/>
      <c r="F21" s="328"/>
      <c r="G21" s="328"/>
      <c r="H21" s="328"/>
      <c r="I21" s="328"/>
      <c r="J21" s="328"/>
      <c r="K21" s="328"/>
      <c r="L21" s="328"/>
      <c r="M21" s="328"/>
      <c r="N21" s="328"/>
      <c r="O21" s="328"/>
      <c r="P21" s="328"/>
      <c r="Q21" s="328"/>
    </row>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sheetProtection algorithmName="SHA-512" hashValue="hYze4fuHkvr+0Sp9u+bGxH3bhVhOrPChPC5u/XVw8Qax/a/d+vMQqxvf8G0wuC0h+0wQ32SJ08mZnTD3OOLAcA==" saltValue="JdoncpM4yoy5pB36A9CWNA==" spinCount="100000" sheet="1" objects="1" scenarios="1"/>
  <mergeCells count="7">
    <mergeCell ref="B21:Q21"/>
    <mergeCell ref="B18:D19"/>
    <mergeCell ref="C2:I2"/>
    <mergeCell ref="K3:P4"/>
    <mergeCell ref="J2:Q2"/>
    <mergeCell ref="J6:Q6"/>
    <mergeCell ref="C6:I6"/>
  </mergeCells>
  <conditionalFormatting sqref="L9">
    <cfRule type="cellIs" dxfId="20" priority="31" stopIfTrue="1" operator="lessThan">
      <formula>0</formula>
    </cfRule>
  </conditionalFormatting>
  <conditionalFormatting sqref="H4">
    <cfRule type="colorScale" priority="30">
      <colorScale>
        <cfvo type="num" val="0"/>
        <cfvo type="num" val="0"/>
        <color rgb="FFFF0000"/>
        <color rgb="FF00B050"/>
      </colorScale>
    </cfRule>
  </conditionalFormatting>
  <conditionalFormatting sqref="L11">
    <cfRule type="cellIs" dxfId="19" priority="29" stopIfTrue="1" operator="lessThan">
      <formula>0</formula>
    </cfRule>
  </conditionalFormatting>
  <conditionalFormatting sqref="L8">
    <cfRule type="cellIs" dxfId="18" priority="28" stopIfTrue="1" operator="lessThan">
      <formula>0</formula>
    </cfRule>
  </conditionalFormatting>
  <conditionalFormatting sqref="L13">
    <cfRule type="cellIs" dxfId="17" priority="27" stopIfTrue="1" operator="lessThan">
      <formula>0</formula>
    </cfRule>
  </conditionalFormatting>
  <conditionalFormatting sqref="L14">
    <cfRule type="cellIs" dxfId="16" priority="26" stopIfTrue="1" operator="lessThan">
      <formula>0</formula>
    </cfRule>
  </conditionalFormatting>
  <conditionalFormatting sqref="L17">
    <cfRule type="cellIs" dxfId="15" priority="25" stopIfTrue="1" operator="lessThan">
      <formula>0</formula>
    </cfRule>
  </conditionalFormatting>
  <conditionalFormatting sqref="L12">
    <cfRule type="cellIs" dxfId="14" priority="24" stopIfTrue="1" operator="lessThan">
      <formula>0</formula>
    </cfRule>
  </conditionalFormatting>
  <conditionalFormatting sqref="N8:N9 N11:N14 N17">
    <cfRule type="cellIs" dxfId="13" priority="23" stopIfTrue="1" operator="between">
      <formula>29.5</formula>
      <formula>31</formula>
    </cfRule>
  </conditionalFormatting>
  <conditionalFormatting sqref="L10">
    <cfRule type="cellIs" dxfId="12" priority="22" stopIfTrue="1" operator="lessThan">
      <formula>0</formula>
    </cfRule>
  </conditionalFormatting>
  <conditionalFormatting sqref="N10">
    <cfRule type="cellIs" dxfId="11" priority="19" stopIfTrue="1" operator="between">
      <formula>29.5</formula>
      <formula>31</formula>
    </cfRule>
  </conditionalFormatting>
  <conditionalFormatting sqref="G19">
    <cfRule type="cellIs" dxfId="10" priority="14" stopIfTrue="1" operator="lessThan">
      <formula>0</formula>
    </cfRule>
  </conditionalFormatting>
  <conditionalFormatting sqref="L16">
    <cfRule type="cellIs" dxfId="9" priority="13" stopIfTrue="1" operator="lessThan">
      <formula>0</formula>
    </cfRule>
  </conditionalFormatting>
  <conditionalFormatting sqref="N16">
    <cfRule type="cellIs" dxfId="8" priority="12" stopIfTrue="1" operator="between">
      <formula>29.5</formula>
      <formula>31</formula>
    </cfRule>
  </conditionalFormatting>
  <conditionalFormatting sqref="C8:C14 C16:C17">
    <cfRule type="expression" dxfId="7" priority="7">
      <formula>ISNA(VLOOKUP(C8,INDIRECT(B8),1,FALSE))</formula>
    </cfRule>
  </conditionalFormatting>
  <conditionalFormatting sqref="J8:J14 J16:J17">
    <cfRule type="cellIs" dxfId="6" priority="8" stopIfTrue="1" operator="notBetween">
      <formula>ROUND($Q8,1)-1.1</formula>
      <formula>ROUND($Q8,1)+1.1</formula>
    </cfRule>
    <cfRule type="cellIs" dxfId="5" priority="9" stopIfTrue="1" operator="between">
      <formula>ROUND($Q8,1)-1.1</formula>
      <formula>ROUND($Q8,1)+1.1</formula>
    </cfRule>
  </conditionalFormatting>
  <conditionalFormatting sqref="L15">
    <cfRule type="cellIs" dxfId="4" priority="5" stopIfTrue="1" operator="lessThan">
      <formula>0</formula>
    </cfRule>
  </conditionalFormatting>
  <conditionalFormatting sqref="N15">
    <cfRule type="cellIs" dxfId="3" priority="4" stopIfTrue="1" operator="between">
      <formula>29.5</formula>
      <formula>31</formula>
    </cfRule>
  </conditionalFormatting>
  <conditionalFormatting sqref="C15">
    <cfRule type="expression" dxfId="2" priority="1">
      <formula>ISNA(VLOOKUP(C15,INDIRECT(B15),1,FALSE))</formula>
    </cfRule>
  </conditionalFormatting>
  <conditionalFormatting sqref="J15">
    <cfRule type="cellIs" dxfId="1" priority="2" stopIfTrue="1" operator="notBetween">
      <formula>ROUND($Q15,1)-1.1</formula>
      <formula>ROUND($Q15,1)+1.1</formula>
    </cfRule>
    <cfRule type="cellIs" dxfId="0" priority="3" stopIfTrue="1" operator="between">
      <formula>ROUND($Q15,1)-1.1</formula>
      <formula>ROUND($Q15,1)+1.1</formula>
    </cfRule>
  </conditionalFormatting>
  <dataValidations count="8">
    <dataValidation type="list" allowBlank="1" showInputMessage="1" showErrorMessage="1" sqref="WVK983021:WVK983028 F65517:F65524 IY65517:IY65524 SU65517:SU65524 ACQ65517:ACQ65524 AMM65517:AMM65524 AWI65517:AWI65524 BGE65517:BGE65524 BQA65517:BQA65524 BZW65517:BZW65524 CJS65517:CJS65524 CTO65517:CTO65524 DDK65517:DDK65524 DNG65517:DNG65524 DXC65517:DXC65524 EGY65517:EGY65524 EQU65517:EQU65524 FAQ65517:FAQ65524 FKM65517:FKM65524 FUI65517:FUI65524 GEE65517:GEE65524 GOA65517:GOA65524 GXW65517:GXW65524 HHS65517:HHS65524 HRO65517:HRO65524 IBK65517:IBK65524 ILG65517:ILG65524 IVC65517:IVC65524 JEY65517:JEY65524 JOU65517:JOU65524 JYQ65517:JYQ65524 KIM65517:KIM65524 KSI65517:KSI65524 LCE65517:LCE65524 LMA65517:LMA65524 LVW65517:LVW65524 MFS65517:MFS65524 MPO65517:MPO65524 MZK65517:MZK65524 NJG65517:NJG65524 NTC65517:NTC65524 OCY65517:OCY65524 OMU65517:OMU65524 OWQ65517:OWQ65524 PGM65517:PGM65524 PQI65517:PQI65524 QAE65517:QAE65524 QKA65517:QKA65524 QTW65517:QTW65524 RDS65517:RDS65524 RNO65517:RNO65524 RXK65517:RXK65524 SHG65517:SHG65524 SRC65517:SRC65524 TAY65517:TAY65524 TKU65517:TKU65524 TUQ65517:TUQ65524 UEM65517:UEM65524 UOI65517:UOI65524 UYE65517:UYE65524 VIA65517:VIA65524 VRW65517:VRW65524 WBS65517:WBS65524 WLO65517:WLO65524 WVK65517:WVK65524 F131053:F131060 IY131053:IY131060 SU131053:SU131060 ACQ131053:ACQ131060 AMM131053:AMM131060 AWI131053:AWI131060 BGE131053:BGE131060 BQA131053:BQA131060 BZW131053:BZW131060 CJS131053:CJS131060 CTO131053:CTO131060 DDK131053:DDK131060 DNG131053:DNG131060 DXC131053:DXC131060 EGY131053:EGY131060 EQU131053:EQU131060 FAQ131053:FAQ131060 FKM131053:FKM131060 FUI131053:FUI131060 GEE131053:GEE131060 GOA131053:GOA131060 GXW131053:GXW131060 HHS131053:HHS131060 HRO131053:HRO131060 IBK131053:IBK131060 ILG131053:ILG131060 IVC131053:IVC131060 JEY131053:JEY131060 JOU131053:JOU131060 JYQ131053:JYQ131060 KIM131053:KIM131060 KSI131053:KSI131060 LCE131053:LCE131060 LMA131053:LMA131060 LVW131053:LVW131060 MFS131053:MFS131060 MPO131053:MPO131060 MZK131053:MZK131060 NJG131053:NJG131060 NTC131053:NTC131060 OCY131053:OCY131060 OMU131053:OMU131060 OWQ131053:OWQ131060 PGM131053:PGM131060 PQI131053:PQI131060 QAE131053:QAE131060 QKA131053:QKA131060 QTW131053:QTW131060 RDS131053:RDS131060 RNO131053:RNO131060 RXK131053:RXK131060 SHG131053:SHG131060 SRC131053:SRC131060 TAY131053:TAY131060 TKU131053:TKU131060 TUQ131053:TUQ131060 UEM131053:UEM131060 UOI131053:UOI131060 UYE131053:UYE131060 VIA131053:VIA131060 VRW131053:VRW131060 WBS131053:WBS131060 WLO131053:WLO131060 WVK131053:WVK131060 F196589:F196596 IY196589:IY196596 SU196589:SU196596 ACQ196589:ACQ196596 AMM196589:AMM196596 AWI196589:AWI196596 BGE196589:BGE196596 BQA196589:BQA196596 BZW196589:BZW196596 CJS196589:CJS196596 CTO196589:CTO196596 DDK196589:DDK196596 DNG196589:DNG196596 DXC196589:DXC196596 EGY196589:EGY196596 EQU196589:EQU196596 FAQ196589:FAQ196596 FKM196589:FKM196596 FUI196589:FUI196596 GEE196589:GEE196596 GOA196589:GOA196596 GXW196589:GXW196596 HHS196589:HHS196596 HRO196589:HRO196596 IBK196589:IBK196596 ILG196589:ILG196596 IVC196589:IVC196596 JEY196589:JEY196596 JOU196589:JOU196596 JYQ196589:JYQ196596 KIM196589:KIM196596 KSI196589:KSI196596 LCE196589:LCE196596 LMA196589:LMA196596 LVW196589:LVW196596 MFS196589:MFS196596 MPO196589:MPO196596 MZK196589:MZK196596 NJG196589:NJG196596 NTC196589:NTC196596 OCY196589:OCY196596 OMU196589:OMU196596 OWQ196589:OWQ196596 PGM196589:PGM196596 PQI196589:PQI196596 QAE196589:QAE196596 QKA196589:QKA196596 QTW196589:QTW196596 RDS196589:RDS196596 RNO196589:RNO196596 RXK196589:RXK196596 SHG196589:SHG196596 SRC196589:SRC196596 TAY196589:TAY196596 TKU196589:TKU196596 TUQ196589:TUQ196596 UEM196589:UEM196596 UOI196589:UOI196596 UYE196589:UYE196596 VIA196589:VIA196596 VRW196589:VRW196596 WBS196589:WBS196596 WLO196589:WLO196596 WVK196589:WVK196596 F262125:F262132 IY262125:IY262132 SU262125:SU262132 ACQ262125:ACQ262132 AMM262125:AMM262132 AWI262125:AWI262132 BGE262125:BGE262132 BQA262125:BQA262132 BZW262125:BZW262132 CJS262125:CJS262132 CTO262125:CTO262132 DDK262125:DDK262132 DNG262125:DNG262132 DXC262125:DXC262132 EGY262125:EGY262132 EQU262125:EQU262132 FAQ262125:FAQ262132 FKM262125:FKM262132 FUI262125:FUI262132 GEE262125:GEE262132 GOA262125:GOA262132 GXW262125:GXW262132 HHS262125:HHS262132 HRO262125:HRO262132 IBK262125:IBK262132 ILG262125:ILG262132 IVC262125:IVC262132 JEY262125:JEY262132 JOU262125:JOU262132 JYQ262125:JYQ262132 KIM262125:KIM262132 KSI262125:KSI262132 LCE262125:LCE262132 LMA262125:LMA262132 LVW262125:LVW262132 MFS262125:MFS262132 MPO262125:MPO262132 MZK262125:MZK262132 NJG262125:NJG262132 NTC262125:NTC262132 OCY262125:OCY262132 OMU262125:OMU262132 OWQ262125:OWQ262132 PGM262125:PGM262132 PQI262125:PQI262132 QAE262125:QAE262132 QKA262125:QKA262132 QTW262125:QTW262132 RDS262125:RDS262132 RNO262125:RNO262132 RXK262125:RXK262132 SHG262125:SHG262132 SRC262125:SRC262132 TAY262125:TAY262132 TKU262125:TKU262132 TUQ262125:TUQ262132 UEM262125:UEM262132 UOI262125:UOI262132 UYE262125:UYE262132 VIA262125:VIA262132 VRW262125:VRW262132 WBS262125:WBS262132 WLO262125:WLO262132 WVK262125:WVK262132 F327661:F327668 IY327661:IY327668 SU327661:SU327668 ACQ327661:ACQ327668 AMM327661:AMM327668 AWI327661:AWI327668 BGE327661:BGE327668 BQA327661:BQA327668 BZW327661:BZW327668 CJS327661:CJS327668 CTO327661:CTO327668 DDK327661:DDK327668 DNG327661:DNG327668 DXC327661:DXC327668 EGY327661:EGY327668 EQU327661:EQU327668 FAQ327661:FAQ327668 FKM327661:FKM327668 FUI327661:FUI327668 GEE327661:GEE327668 GOA327661:GOA327668 GXW327661:GXW327668 HHS327661:HHS327668 HRO327661:HRO327668 IBK327661:IBK327668 ILG327661:ILG327668 IVC327661:IVC327668 JEY327661:JEY327668 JOU327661:JOU327668 JYQ327661:JYQ327668 KIM327661:KIM327668 KSI327661:KSI327668 LCE327661:LCE327668 LMA327661:LMA327668 LVW327661:LVW327668 MFS327661:MFS327668 MPO327661:MPO327668 MZK327661:MZK327668 NJG327661:NJG327668 NTC327661:NTC327668 OCY327661:OCY327668 OMU327661:OMU327668 OWQ327661:OWQ327668 PGM327661:PGM327668 PQI327661:PQI327668 QAE327661:QAE327668 QKA327661:QKA327668 QTW327661:QTW327668 RDS327661:RDS327668 RNO327661:RNO327668 RXK327661:RXK327668 SHG327661:SHG327668 SRC327661:SRC327668 TAY327661:TAY327668 TKU327661:TKU327668 TUQ327661:TUQ327668 UEM327661:UEM327668 UOI327661:UOI327668 UYE327661:UYE327668 VIA327661:VIA327668 VRW327661:VRW327668 WBS327661:WBS327668 WLO327661:WLO327668 WVK327661:WVK327668 F393197:F393204 IY393197:IY393204 SU393197:SU393204 ACQ393197:ACQ393204 AMM393197:AMM393204 AWI393197:AWI393204 BGE393197:BGE393204 BQA393197:BQA393204 BZW393197:BZW393204 CJS393197:CJS393204 CTO393197:CTO393204 DDK393197:DDK393204 DNG393197:DNG393204 DXC393197:DXC393204 EGY393197:EGY393204 EQU393197:EQU393204 FAQ393197:FAQ393204 FKM393197:FKM393204 FUI393197:FUI393204 GEE393197:GEE393204 GOA393197:GOA393204 GXW393197:GXW393204 HHS393197:HHS393204 HRO393197:HRO393204 IBK393197:IBK393204 ILG393197:ILG393204 IVC393197:IVC393204 JEY393197:JEY393204 JOU393197:JOU393204 JYQ393197:JYQ393204 KIM393197:KIM393204 KSI393197:KSI393204 LCE393197:LCE393204 LMA393197:LMA393204 LVW393197:LVW393204 MFS393197:MFS393204 MPO393197:MPO393204 MZK393197:MZK393204 NJG393197:NJG393204 NTC393197:NTC393204 OCY393197:OCY393204 OMU393197:OMU393204 OWQ393197:OWQ393204 PGM393197:PGM393204 PQI393197:PQI393204 QAE393197:QAE393204 QKA393197:QKA393204 QTW393197:QTW393204 RDS393197:RDS393204 RNO393197:RNO393204 RXK393197:RXK393204 SHG393197:SHG393204 SRC393197:SRC393204 TAY393197:TAY393204 TKU393197:TKU393204 TUQ393197:TUQ393204 UEM393197:UEM393204 UOI393197:UOI393204 UYE393197:UYE393204 VIA393197:VIA393204 VRW393197:VRW393204 WBS393197:WBS393204 WLO393197:WLO393204 WVK393197:WVK393204 F458733:F458740 IY458733:IY458740 SU458733:SU458740 ACQ458733:ACQ458740 AMM458733:AMM458740 AWI458733:AWI458740 BGE458733:BGE458740 BQA458733:BQA458740 BZW458733:BZW458740 CJS458733:CJS458740 CTO458733:CTO458740 DDK458733:DDK458740 DNG458733:DNG458740 DXC458733:DXC458740 EGY458733:EGY458740 EQU458733:EQU458740 FAQ458733:FAQ458740 FKM458733:FKM458740 FUI458733:FUI458740 GEE458733:GEE458740 GOA458733:GOA458740 GXW458733:GXW458740 HHS458733:HHS458740 HRO458733:HRO458740 IBK458733:IBK458740 ILG458733:ILG458740 IVC458733:IVC458740 JEY458733:JEY458740 JOU458733:JOU458740 JYQ458733:JYQ458740 KIM458733:KIM458740 KSI458733:KSI458740 LCE458733:LCE458740 LMA458733:LMA458740 LVW458733:LVW458740 MFS458733:MFS458740 MPO458733:MPO458740 MZK458733:MZK458740 NJG458733:NJG458740 NTC458733:NTC458740 OCY458733:OCY458740 OMU458733:OMU458740 OWQ458733:OWQ458740 PGM458733:PGM458740 PQI458733:PQI458740 QAE458733:QAE458740 QKA458733:QKA458740 QTW458733:QTW458740 RDS458733:RDS458740 RNO458733:RNO458740 RXK458733:RXK458740 SHG458733:SHG458740 SRC458733:SRC458740 TAY458733:TAY458740 TKU458733:TKU458740 TUQ458733:TUQ458740 UEM458733:UEM458740 UOI458733:UOI458740 UYE458733:UYE458740 VIA458733:VIA458740 VRW458733:VRW458740 WBS458733:WBS458740 WLO458733:WLO458740 WVK458733:WVK458740 F524269:F524276 IY524269:IY524276 SU524269:SU524276 ACQ524269:ACQ524276 AMM524269:AMM524276 AWI524269:AWI524276 BGE524269:BGE524276 BQA524269:BQA524276 BZW524269:BZW524276 CJS524269:CJS524276 CTO524269:CTO524276 DDK524269:DDK524276 DNG524269:DNG524276 DXC524269:DXC524276 EGY524269:EGY524276 EQU524269:EQU524276 FAQ524269:FAQ524276 FKM524269:FKM524276 FUI524269:FUI524276 GEE524269:GEE524276 GOA524269:GOA524276 GXW524269:GXW524276 HHS524269:HHS524276 HRO524269:HRO524276 IBK524269:IBK524276 ILG524269:ILG524276 IVC524269:IVC524276 JEY524269:JEY524276 JOU524269:JOU524276 JYQ524269:JYQ524276 KIM524269:KIM524276 KSI524269:KSI524276 LCE524269:LCE524276 LMA524269:LMA524276 LVW524269:LVW524276 MFS524269:MFS524276 MPO524269:MPO524276 MZK524269:MZK524276 NJG524269:NJG524276 NTC524269:NTC524276 OCY524269:OCY524276 OMU524269:OMU524276 OWQ524269:OWQ524276 PGM524269:PGM524276 PQI524269:PQI524276 QAE524269:QAE524276 QKA524269:QKA524276 QTW524269:QTW524276 RDS524269:RDS524276 RNO524269:RNO524276 RXK524269:RXK524276 SHG524269:SHG524276 SRC524269:SRC524276 TAY524269:TAY524276 TKU524269:TKU524276 TUQ524269:TUQ524276 UEM524269:UEM524276 UOI524269:UOI524276 UYE524269:UYE524276 VIA524269:VIA524276 VRW524269:VRW524276 WBS524269:WBS524276 WLO524269:WLO524276 WVK524269:WVK524276 F589805:F589812 IY589805:IY589812 SU589805:SU589812 ACQ589805:ACQ589812 AMM589805:AMM589812 AWI589805:AWI589812 BGE589805:BGE589812 BQA589805:BQA589812 BZW589805:BZW589812 CJS589805:CJS589812 CTO589805:CTO589812 DDK589805:DDK589812 DNG589805:DNG589812 DXC589805:DXC589812 EGY589805:EGY589812 EQU589805:EQU589812 FAQ589805:FAQ589812 FKM589805:FKM589812 FUI589805:FUI589812 GEE589805:GEE589812 GOA589805:GOA589812 GXW589805:GXW589812 HHS589805:HHS589812 HRO589805:HRO589812 IBK589805:IBK589812 ILG589805:ILG589812 IVC589805:IVC589812 JEY589805:JEY589812 JOU589805:JOU589812 JYQ589805:JYQ589812 KIM589805:KIM589812 KSI589805:KSI589812 LCE589805:LCE589812 LMA589805:LMA589812 LVW589805:LVW589812 MFS589805:MFS589812 MPO589805:MPO589812 MZK589805:MZK589812 NJG589805:NJG589812 NTC589805:NTC589812 OCY589805:OCY589812 OMU589805:OMU589812 OWQ589805:OWQ589812 PGM589805:PGM589812 PQI589805:PQI589812 QAE589805:QAE589812 QKA589805:QKA589812 QTW589805:QTW589812 RDS589805:RDS589812 RNO589805:RNO589812 RXK589805:RXK589812 SHG589805:SHG589812 SRC589805:SRC589812 TAY589805:TAY589812 TKU589805:TKU589812 TUQ589805:TUQ589812 UEM589805:UEM589812 UOI589805:UOI589812 UYE589805:UYE589812 VIA589805:VIA589812 VRW589805:VRW589812 WBS589805:WBS589812 WLO589805:WLO589812 WVK589805:WVK589812 F655341:F655348 IY655341:IY655348 SU655341:SU655348 ACQ655341:ACQ655348 AMM655341:AMM655348 AWI655341:AWI655348 BGE655341:BGE655348 BQA655341:BQA655348 BZW655341:BZW655348 CJS655341:CJS655348 CTO655341:CTO655348 DDK655341:DDK655348 DNG655341:DNG655348 DXC655341:DXC655348 EGY655341:EGY655348 EQU655341:EQU655348 FAQ655341:FAQ655348 FKM655341:FKM655348 FUI655341:FUI655348 GEE655341:GEE655348 GOA655341:GOA655348 GXW655341:GXW655348 HHS655341:HHS655348 HRO655341:HRO655348 IBK655341:IBK655348 ILG655341:ILG655348 IVC655341:IVC655348 JEY655341:JEY655348 JOU655341:JOU655348 JYQ655341:JYQ655348 KIM655341:KIM655348 KSI655341:KSI655348 LCE655341:LCE655348 LMA655341:LMA655348 LVW655341:LVW655348 MFS655341:MFS655348 MPO655341:MPO655348 MZK655341:MZK655348 NJG655341:NJG655348 NTC655341:NTC655348 OCY655341:OCY655348 OMU655341:OMU655348 OWQ655341:OWQ655348 PGM655341:PGM655348 PQI655341:PQI655348 QAE655341:QAE655348 QKA655341:QKA655348 QTW655341:QTW655348 RDS655341:RDS655348 RNO655341:RNO655348 RXK655341:RXK655348 SHG655341:SHG655348 SRC655341:SRC655348 TAY655341:TAY655348 TKU655341:TKU655348 TUQ655341:TUQ655348 UEM655341:UEM655348 UOI655341:UOI655348 UYE655341:UYE655348 VIA655341:VIA655348 VRW655341:VRW655348 WBS655341:WBS655348 WLO655341:WLO655348 WVK655341:WVK655348 F720877:F720884 IY720877:IY720884 SU720877:SU720884 ACQ720877:ACQ720884 AMM720877:AMM720884 AWI720877:AWI720884 BGE720877:BGE720884 BQA720877:BQA720884 BZW720877:BZW720884 CJS720877:CJS720884 CTO720877:CTO720884 DDK720877:DDK720884 DNG720877:DNG720884 DXC720877:DXC720884 EGY720877:EGY720884 EQU720877:EQU720884 FAQ720877:FAQ720884 FKM720877:FKM720884 FUI720877:FUI720884 GEE720877:GEE720884 GOA720877:GOA720884 GXW720877:GXW720884 HHS720877:HHS720884 HRO720877:HRO720884 IBK720877:IBK720884 ILG720877:ILG720884 IVC720877:IVC720884 JEY720877:JEY720884 JOU720877:JOU720884 JYQ720877:JYQ720884 KIM720877:KIM720884 KSI720877:KSI720884 LCE720877:LCE720884 LMA720877:LMA720884 LVW720877:LVW720884 MFS720877:MFS720884 MPO720877:MPO720884 MZK720877:MZK720884 NJG720877:NJG720884 NTC720877:NTC720884 OCY720877:OCY720884 OMU720877:OMU720884 OWQ720877:OWQ720884 PGM720877:PGM720884 PQI720877:PQI720884 QAE720877:QAE720884 QKA720877:QKA720884 QTW720877:QTW720884 RDS720877:RDS720884 RNO720877:RNO720884 RXK720877:RXK720884 SHG720877:SHG720884 SRC720877:SRC720884 TAY720877:TAY720884 TKU720877:TKU720884 TUQ720877:TUQ720884 UEM720877:UEM720884 UOI720877:UOI720884 UYE720877:UYE720884 VIA720877:VIA720884 VRW720877:VRW720884 WBS720877:WBS720884 WLO720877:WLO720884 WVK720877:WVK720884 F786413:F786420 IY786413:IY786420 SU786413:SU786420 ACQ786413:ACQ786420 AMM786413:AMM786420 AWI786413:AWI786420 BGE786413:BGE786420 BQA786413:BQA786420 BZW786413:BZW786420 CJS786413:CJS786420 CTO786413:CTO786420 DDK786413:DDK786420 DNG786413:DNG786420 DXC786413:DXC786420 EGY786413:EGY786420 EQU786413:EQU786420 FAQ786413:FAQ786420 FKM786413:FKM786420 FUI786413:FUI786420 GEE786413:GEE786420 GOA786413:GOA786420 GXW786413:GXW786420 HHS786413:HHS786420 HRO786413:HRO786420 IBK786413:IBK786420 ILG786413:ILG786420 IVC786413:IVC786420 JEY786413:JEY786420 JOU786413:JOU786420 JYQ786413:JYQ786420 KIM786413:KIM786420 KSI786413:KSI786420 LCE786413:LCE786420 LMA786413:LMA786420 LVW786413:LVW786420 MFS786413:MFS786420 MPO786413:MPO786420 MZK786413:MZK786420 NJG786413:NJG786420 NTC786413:NTC786420 OCY786413:OCY786420 OMU786413:OMU786420 OWQ786413:OWQ786420 PGM786413:PGM786420 PQI786413:PQI786420 QAE786413:QAE786420 QKA786413:QKA786420 QTW786413:QTW786420 RDS786413:RDS786420 RNO786413:RNO786420 RXK786413:RXK786420 SHG786413:SHG786420 SRC786413:SRC786420 TAY786413:TAY786420 TKU786413:TKU786420 TUQ786413:TUQ786420 UEM786413:UEM786420 UOI786413:UOI786420 UYE786413:UYE786420 VIA786413:VIA786420 VRW786413:VRW786420 WBS786413:WBS786420 WLO786413:WLO786420 WVK786413:WVK786420 F851949:F851956 IY851949:IY851956 SU851949:SU851956 ACQ851949:ACQ851956 AMM851949:AMM851956 AWI851949:AWI851956 BGE851949:BGE851956 BQA851949:BQA851956 BZW851949:BZW851956 CJS851949:CJS851956 CTO851949:CTO851956 DDK851949:DDK851956 DNG851949:DNG851956 DXC851949:DXC851956 EGY851949:EGY851956 EQU851949:EQU851956 FAQ851949:FAQ851956 FKM851949:FKM851956 FUI851949:FUI851956 GEE851949:GEE851956 GOA851949:GOA851956 GXW851949:GXW851956 HHS851949:HHS851956 HRO851949:HRO851956 IBK851949:IBK851956 ILG851949:ILG851956 IVC851949:IVC851956 JEY851949:JEY851956 JOU851949:JOU851956 JYQ851949:JYQ851956 KIM851949:KIM851956 KSI851949:KSI851956 LCE851949:LCE851956 LMA851949:LMA851956 LVW851949:LVW851956 MFS851949:MFS851956 MPO851949:MPO851956 MZK851949:MZK851956 NJG851949:NJG851956 NTC851949:NTC851956 OCY851949:OCY851956 OMU851949:OMU851956 OWQ851949:OWQ851956 PGM851949:PGM851956 PQI851949:PQI851956 QAE851949:QAE851956 QKA851949:QKA851956 QTW851949:QTW851956 RDS851949:RDS851956 RNO851949:RNO851956 RXK851949:RXK851956 SHG851949:SHG851956 SRC851949:SRC851956 TAY851949:TAY851956 TKU851949:TKU851956 TUQ851949:TUQ851956 UEM851949:UEM851956 UOI851949:UOI851956 UYE851949:UYE851956 VIA851949:VIA851956 VRW851949:VRW851956 WBS851949:WBS851956 WLO851949:WLO851956 WVK851949:WVK851956 F917485:F917492 IY917485:IY917492 SU917485:SU917492 ACQ917485:ACQ917492 AMM917485:AMM917492 AWI917485:AWI917492 BGE917485:BGE917492 BQA917485:BQA917492 BZW917485:BZW917492 CJS917485:CJS917492 CTO917485:CTO917492 DDK917485:DDK917492 DNG917485:DNG917492 DXC917485:DXC917492 EGY917485:EGY917492 EQU917485:EQU917492 FAQ917485:FAQ917492 FKM917485:FKM917492 FUI917485:FUI917492 GEE917485:GEE917492 GOA917485:GOA917492 GXW917485:GXW917492 HHS917485:HHS917492 HRO917485:HRO917492 IBK917485:IBK917492 ILG917485:ILG917492 IVC917485:IVC917492 JEY917485:JEY917492 JOU917485:JOU917492 JYQ917485:JYQ917492 KIM917485:KIM917492 KSI917485:KSI917492 LCE917485:LCE917492 LMA917485:LMA917492 LVW917485:LVW917492 MFS917485:MFS917492 MPO917485:MPO917492 MZK917485:MZK917492 NJG917485:NJG917492 NTC917485:NTC917492 OCY917485:OCY917492 OMU917485:OMU917492 OWQ917485:OWQ917492 PGM917485:PGM917492 PQI917485:PQI917492 QAE917485:QAE917492 QKA917485:QKA917492 QTW917485:QTW917492 RDS917485:RDS917492 RNO917485:RNO917492 RXK917485:RXK917492 SHG917485:SHG917492 SRC917485:SRC917492 TAY917485:TAY917492 TKU917485:TKU917492 TUQ917485:TUQ917492 UEM917485:UEM917492 UOI917485:UOI917492 UYE917485:UYE917492 VIA917485:VIA917492 VRW917485:VRW917492 WBS917485:WBS917492 WLO917485:WLO917492 WVK917485:WVK917492 F983021:F983028 IY983021:IY983028 SU983021:SU983028 ACQ983021:ACQ983028 AMM983021:AMM983028 AWI983021:AWI983028 BGE983021:BGE983028 BQA983021:BQA983028 BZW983021:BZW983028 CJS983021:CJS983028 CTO983021:CTO983028 DDK983021:DDK983028 DNG983021:DNG983028 DXC983021:DXC983028 EGY983021:EGY983028 EQU983021:EQU983028 FAQ983021:FAQ983028 FKM983021:FKM983028 FUI983021:FUI983028 GEE983021:GEE983028 GOA983021:GOA983028 GXW983021:GXW983028 HHS983021:HHS983028 HRO983021:HRO983028 IBK983021:IBK983028 ILG983021:ILG983028 IVC983021:IVC983028 JEY983021:JEY983028 JOU983021:JOU983028 JYQ983021:JYQ983028 KIM983021:KIM983028 KSI983021:KSI983028 LCE983021:LCE983028 LMA983021:LMA983028 LVW983021:LVW983028 MFS983021:MFS983028 MPO983021:MPO983028 MZK983021:MZK983028 NJG983021:NJG983028 NTC983021:NTC983028 OCY983021:OCY983028 OMU983021:OMU983028 OWQ983021:OWQ983028 PGM983021:PGM983028 PQI983021:PQI983028 QAE983021:QAE983028 QKA983021:QKA983028 QTW983021:QTW983028 RDS983021:RDS983028 RNO983021:RNO983028 RXK983021:RXK983028 SHG983021:SHG983028 SRC983021:SRC983028 TAY983021:TAY983028 TKU983021:TKU983028 TUQ983021:TUQ983028 UEM983021:UEM983028 UOI983021:UOI983028 UYE983021:UYE983028 VIA983021:VIA983028 VRW983021:VRW983028 WBS983021:WBS983028 WLO983021:WLO983028 F8:F17 IY8:IY17 SU8:SU17 ACQ8:ACQ17 AMM8:AMM17 AWI8:AWI17 BGE8:BGE17 BQA8:BQA17 BZW8:BZW17 CJS8:CJS17 CTO8:CTO17 DDK8:DDK17 DNG8:DNG17 DXC8:DXC17 EGY8:EGY17 EQU8:EQU17 FAQ8:FAQ17 FKM8:FKM17 FUI8:FUI17 GEE8:GEE17 GOA8:GOA17 GXW8:GXW17 HHS8:HHS17 HRO8:HRO17 IBK8:IBK17 ILG8:ILG17 IVC8:IVC17 JEY8:JEY17 JOU8:JOU17 JYQ8:JYQ17 KIM8:KIM17 KSI8:KSI17 LCE8:LCE17 LMA8:LMA17 LVW8:LVW17 MFS8:MFS17 MPO8:MPO17 MZK8:MZK17 NJG8:NJG17 NTC8:NTC17 OCY8:OCY17 OMU8:OMU17 OWQ8:OWQ17 PGM8:PGM17 PQI8:PQI17 QAE8:QAE17 QKA8:QKA17 QTW8:QTW17 RDS8:RDS17 RNO8:RNO17 RXK8:RXK17 SHG8:SHG17 SRC8:SRC17 TAY8:TAY17 TKU8:TKU17 TUQ8:TUQ17 UEM8:UEM17 UOI8:UOI17 UYE8:UYE17 VIA8:VIA17 VRW8:VRW17 WBS8:WBS17 WLO8:WLO17 WVK8:WVK17">
      <formula1>Insert_Liste</formula1>
    </dataValidation>
    <dataValidation type="list" allowBlank="1" showInputMessage="1" showErrorMessage="1" sqref="I65517:I65524 I131053:I131060 JB65517:JB65524 SX65517:SX65524 ACT65517:ACT65524 AMP65517:AMP65524 AWL65517:AWL65524 BGH65517:BGH65524 BQD65517:BQD65524 BZZ65517:BZZ65524 CJV65517:CJV65524 CTR65517:CTR65524 DDN65517:DDN65524 DNJ65517:DNJ65524 DXF65517:DXF65524 EHB65517:EHB65524 EQX65517:EQX65524 FAT65517:FAT65524 FKP65517:FKP65524 FUL65517:FUL65524 GEH65517:GEH65524 GOD65517:GOD65524 GXZ65517:GXZ65524 HHV65517:HHV65524 HRR65517:HRR65524 IBN65517:IBN65524 ILJ65517:ILJ65524 IVF65517:IVF65524 JFB65517:JFB65524 JOX65517:JOX65524 JYT65517:JYT65524 KIP65517:KIP65524 KSL65517:KSL65524 LCH65517:LCH65524 LMD65517:LMD65524 LVZ65517:LVZ65524 MFV65517:MFV65524 MPR65517:MPR65524 MZN65517:MZN65524 NJJ65517:NJJ65524 NTF65517:NTF65524 ODB65517:ODB65524 OMX65517:OMX65524 OWT65517:OWT65524 PGP65517:PGP65524 PQL65517:PQL65524 QAH65517:QAH65524 QKD65517:QKD65524 QTZ65517:QTZ65524 RDV65517:RDV65524 RNR65517:RNR65524 RXN65517:RXN65524 SHJ65517:SHJ65524 SRF65517:SRF65524 TBB65517:TBB65524 TKX65517:TKX65524 TUT65517:TUT65524 UEP65517:UEP65524 UOL65517:UOL65524 UYH65517:UYH65524 VID65517:VID65524 VRZ65517:VRZ65524 WBV65517:WBV65524 WLR65517:WLR65524 WVN65517:WVN65524 I196589:I196596 JB131053:JB131060 SX131053:SX131060 ACT131053:ACT131060 AMP131053:AMP131060 AWL131053:AWL131060 BGH131053:BGH131060 BQD131053:BQD131060 BZZ131053:BZZ131060 CJV131053:CJV131060 CTR131053:CTR131060 DDN131053:DDN131060 DNJ131053:DNJ131060 DXF131053:DXF131060 EHB131053:EHB131060 EQX131053:EQX131060 FAT131053:FAT131060 FKP131053:FKP131060 FUL131053:FUL131060 GEH131053:GEH131060 GOD131053:GOD131060 GXZ131053:GXZ131060 HHV131053:HHV131060 HRR131053:HRR131060 IBN131053:IBN131060 ILJ131053:ILJ131060 IVF131053:IVF131060 JFB131053:JFB131060 JOX131053:JOX131060 JYT131053:JYT131060 KIP131053:KIP131060 KSL131053:KSL131060 LCH131053:LCH131060 LMD131053:LMD131060 LVZ131053:LVZ131060 MFV131053:MFV131060 MPR131053:MPR131060 MZN131053:MZN131060 NJJ131053:NJJ131060 NTF131053:NTF131060 ODB131053:ODB131060 OMX131053:OMX131060 OWT131053:OWT131060 PGP131053:PGP131060 PQL131053:PQL131060 QAH131053:QAH131060 QKD131053:QKD131060 QTZ131053:QTZ131060 RDV131053:RDV131060 RNR131053:RNR131060 RXN131053:RXN131060 SHJ131053:SHJ131060 SRF131053:SRF131060 TBB131053:TBB131060 TKX131053:TKX131060 TUT131053:TUT131060 UEP131053:UEP131060 UOL131053:UOL131060 UYH131053:UYH131060 VID131053:VID131060 VRZ131053:VRZ131060 WBV131053:WBV131060 WLR131053:WLR131060 WVN131053:WVN131060 I262125:I262132 JB196589:JB196596 SX196589:SX196596 ACT196589:ACT196596 AMP196589:AMP196596 AWL196589:AWL196596 BGH196589:BGH196596 BQD196589:BQD196596 BZZ196589:BZZ196596 CJV196589:CJV196596 CTR196589:CTR196596 DDN196589:DDN196596 DNJ196589:DNJ196596 DXF196589:DXF196596 EHB196589:EHB196596 EQX196589:EQX196596 FAT196589:FAT196596 FKP196589:FKP196596 FUL196589:FUL196596 GEH196589:GEH196596 GOD196589:GOD196596 GXZ196589:GXZ196596 HHV196589:HHV196596 HRR196589:HRR196596 IBN196589:IBN196596 ILJ196589:ILJ196596 IVF196589:IVF196596 JFB196589:JFB196596 JOX196589:JOX196596 JYT196589:JYT196596 KIP196589:KIP196596 KSL196589:KSL196596 LCH196589:LCH196596 LMD196589:LMD196596 LVZ196589:LVZ196596 MFV196589:MFV196596 MPR196589:MPR196596 MZN196589:MZN196596 NJJ196589:NJJ196596 NTF196589:NTF196596 ODB196589:ODB196596 OMX196589:OMX196596 OWT196589:OWT196596 PGP196589:PGP196596 PQL196589:PQL196596 QAH196589:QAH196596 QKD196589:QKD196596 QTZ196589:QTZ196596 RDV196589:RDV196596 RNR196589:RNR196596 RXN196589:RXN196596 SHJ196589:SHJ196596 SRF196589:SRF196596 TBB196589:TBB196596 TKX196589:TKX196596 TUT196589:TUT196596 UEP196589:UEP196596 UOL196589:UOL196596 UYH196589:UYH196596 VID196589:VID196596 VRZ196589:VRZ196596 WBV196589:WBV196596 WLR196589:WLR196596 WVN196589:WVN196596 I327661:I327668 JB262125:JB262132 SX262125:SX262132 ACT262125:ACT262132 AMP262125:AMP262132 AWL262125:AWL262132 BGH262125:BGH262132 BQD262125:BQD262132 BZZ262125:BZZ262132 CJV262125:CJV262132 CTR262125:CTR262132 DDN262125:DDN262132 DNJ262125:DNJ262132 DXF262125:DXF262132 EHB262125:EHB262132 EQX262125:EQX262132 FAT262125:FAT262132 FKP262125:FKP262132 FUL262125:FUL262132 GEH262125:GEH262132 GOD262125:GOD262132 GXZ262125:GXZ262132 HHV262125:HHV262132 HRR262125:HRR262132 IBN262125:IBN262132 ILJ262125:ILJ262132 IVF262125:IVF262132 JFB262125:JFB262132 JOX262125:JOX262132 JYT262125:JYT262132 KIP262125:KIP262132 KSL262125:KSL262132 LCH262125:LCH262132 LMD262125:LMD262132 LVZ262125:LVZ262132 MFV262125:MFV262132 MPR262125:MPR262132 MZN262125:MZN262132 NJJ262125:NJJ262132 NTF262125:NTF262132 ODB262125:ODB262132 OMX262125:OMX262132 OWT262125:OWT262132 PGP262125:PGP262132 PQL262125:PQL262132 QAH262125:QAH262132 QKD262125:QKD262132 QTZ262125:QTZ262132 RDV262125:RDV262132 RNR262125:RNR262132 RXN262125:RXN262132 SHJ262125:SHJ262132 SRF262125:SRF262132 TBB262125:TBB262132 TKX262125:TKX262132 TUT262125:TUT262132 UEP262125:UEP262132 UOL262125:UOL262132 UYH262125:UYH262132 VID262125:VID262132 VRZ262125:VRZ262132 WBV262125:WBV262132 WLR262125:WLR262132 WVN262125:WVN262132 I393197:I393204 JB327661:JB327668 SX327661:SX327668 ACT327661:ACT327668 AMP327661:AMP327668 AWL327661:AWL327668 BGH327661:BGH327668 BQD327661:BQD327668 BZZ327661:BZZ327668 CJV327661:CJV327668 CTR327661:CTR327668 DDN327661:DDN327668 DNJ327661:DNJ327668 DXF327661:DXF327668 EHB327661:EHB327668 EQX327661:EQX327668 FAT327661:FAT327668 FKP327661:FKP327668 FUL327661:FUL327668 GEH327661:GEH327668 GOD327661:GOD327668 GXZ327661:GXZ327668 HHV327661:HHV327668 HRR327661:HRR327668 IBN327661:IBN327668 ILJ327661:ILJ327668 IVF327661:IVF327668 JFB327661:JFB327668 JOX327661:JOX327668 JYT327661:JYT327668 KIP327661:KIP327668 KSL327661:KSL327668 LCH327661:LCH327668 LMD327661:LMD327668 LVZ327661:LVZ327668 MFV327661:MFV327668 MPR327661:MPR327668 MZN327661:MZN327668 NJJ327661:NJJ327668 NTF327661:NTF327668 ODB327661:ODB327668 OMX327661:OMX327668 OWT327661:OWT327668 PGP327661:PGP327668 PQL327661:PQL327668 QAH327661:QAH327668 QKD327661:QKD327668 QTZ327661:QTZ327668 RDV327661:RDV327668 RNR327661:RNR327668 RXN327661:RXN327668 SHJ327661:SHJ327668 SRF327661:SRF327668 TBB327661:TBB327668 TKX327661:TKX327668 TUT327661:TUT327668 UEP327661:UEP327668 UOL327661:UOL327668 UYH327661:UYH327668 VID327661:VID327668 VRZ327661:VRZ327668 WBV327661:WBV327668 WLR327661:WLR327668 WVN327661:WVN327668 I458733:I458740 JB393197:JB393204 SX393197:SX393204 ACT393197:ACT393204 AMP393197:AMP393204 AWL393197:AWL393204 BGH393197:BGH393204 BQD393197:BQD393204 BZZ393197:BZZ393204 CJV393197:CJV393204 CTR393197:CTR393204 DDN393197:DDN393204 DNJ393197:DNJ393204 DXF393197:DXF393204 EHB393197:EHB393204 EQX393197:EQX393204 FAT393197:FAT393204 FKP393197:FKP393204 FUL393197:FUL393204 GEH393197:GEH393204 GOD393197:GOD393204 GXZ393197:GXZ393204 HHV393197:HHV393204 HRR393197:HRR393204 IBN393197:IBN393204 ILJ393197:ILJ393204 IVF393197:IVF393204 JFB393197:JFB393204 JOX393197:JOX393204 JYT393197:JYT393204 KIP393197:KIP393204 KSL393197:KSL393204 LCH393197:LCH393204 LMD393197:LMD393204 LVZ393197:LVZ393204 MFV393197:MFV393204 MPR393197:MPR393204 MZN393197:MZN393204 NJJ393197:NJJ393204 NTF393197:NTF393204 ODB393197:ODB393204 OMX393197:OMX393204 OWT393197:OWT393204 PGP393197:PGP393204 PQL393197:PQL393204 QAH393197:QAH393204 QKD393197:QKD393204 QTZ393197:QTZ393204 RDV393197:RDV393204 RNR393197:RNR393204 RXN393197:RXN393204 SHJ393197:SHJ393204 SRF393197:SRF393204 TBB393197:TBB393204 TKX393197:TKX393204 TUT393197:TUT393204 UEP393197:UEP393204 UOL393197:UOL393204 UYH393197:UYH393204 VID393197:VID393204 VRZ393197:VRZ393204 WBV393197:WBV393204 WLR393197:WLR393204 WVN393197:WVN393204 I524269:I524276 JB458733:JB458740 SX458733:SX458740 ACT458733:ACT458740 AMP458733:AMP458740 AWL458733:AWL458740 BGH458733:BGH458740 BQD458733:BQD458740 BZZ458733:BZZ458740 CJV458733:CJV458740 CTR458733:CTR458740 DDN458733:DDN458740 DNJ458733:DNJ458740 DXF458733:DXF458740 EHB458733:EHB458740 EQX458733:EQX458740 FAT458733:FAT458740 FKP458733:FKP458740 FUL458733:FUL458740 GEH458733:GEH458740 GOD458733:GOD458740 GXZ458733:GXZ458740 HHV458733:HHV458740 HRR458733:HRR458740 IBN458733:IBN458740 ILJ458733:ILJ458740 IVF458733:IVF458740 JFB458733:JFB458740 JOX458733:JOX458740 JYT458733:JYT458740 KIP458733:KIP458740 KSL458733:KSL458740 LCH458733:LCH458740 LMD458733:LMD458740 LVZ458733:LVZ458740 MFV458733:MFV458740 MPR458733:MPR458740 MZN458733:MZN458740 NJJ458733:NJJ458740 NTF458733:NTF458740 ODB458733:ODB458740 OMX458733:OMX458740 OWT458733:OWT458740 PGP458733:PGP458740 PQL458733:PQL458740 QAH458733:QAH458740 QKD458733:QKD458740 QTZ458733:QTZ458740 RDV458733:RDV458740 RNR458733:RNR458740 RXN458733:RXN458740 SHJ458733:SHJ458740 SRF458733:SRF458740 TBB458733:TBB458740 TKX458733:TKX458740 TUT458733:TUT458740 UEP458733:UEP458740 UOL458733:UOL458740 UYH458733:UYH458740 VID458733:VID458740 VRZ458733:VRZ458740 WBV458733:WBV458740 WLR458733:WLR458740 WVN458733:WVN458740 I589805:I589812 JB524269:JB524276 SX524269:SX524276 ACT524269:ACT524276 AMP524269:AMP524276 AWL524269:AWL524276 BGH524269:BGH524276 BQD524269:BQD524276 BZZ524269:BZZ524276 CJV524269:CJV524276 CTR524269:CTR524276 DDN524269:DDN524276 DNJ524269:DNJ524276 DXF524269:DXF524276 EHB524269:EHB524276 EQX524269:EQX524276 FAT524269:FAT524276 FKP524269:FKP524276 FUL524269:FUL524276 GEH524269:GEH524276 GOD524269:GOD524276 GXZ524269:GXZ524276 HHV524269:HHV524276 HRR524269:HRR524276 IBN524269:IBN524276 ILJ524269:ILJ524276 IVF524269:IVF524276 JFB524269:JFB524276 JOX524269:JOX524276 JYT524269:JYT524276 KIP524269:KIP524276 KSL524269:KSL524276 LCH524269:LCH524276 LMD524269:LMD524276 LVZ524269:LVZ524276 MFV524269:MFV524276 MPR524269:MPR524276 MZN524269:MZN524276 NJJ524269:NJJ524276 NTF524269:NTF524276 ODB524269:ODB524276 OMX524269:OMX524276 OWT524269:OWT524276 PGP524269:PGP524276 PQL524269:PQL524276 QAH524269:QAH524276 QKD524269:QKD524276 QTZ524269:QTZ524276 RDV524269:RDV524276 RNR524269:RNR524276 RXN524269:RXN524276 SHJ524269:SHJ524276 SRF524269:SRF524276 TBB524269:TBB524276 TKX524269:TKX524276 TUT524269:TUT524276 UEP524269:UEP524276 UOL524269:UOL524276 UYH524269:UYH524276 VID524269:VID524276 VRZ524269:VRZ524276 WBV524269:WBV524276 WLR524269:WLR524276 WVN524269:WVN524276 I655341:I655348 JB589805:JB589812 SX589805:SX589812 ACT589805:ACT589812 AMP589805:AMP589812 AWL589805:AWL589812 BGH589805:BGH589812 BQD589805:BQD589812 BZZ589805:BZZ589812 CJV589805:CJV589812 CTR589805:CTR589812 DDN589805:DDN589812 DNJ589805:DNJ589812 DXF589805:DXF589812 EHB589805:EHB589812 EQX589805:EQX589812 FAT589805:FAT589812 FKP589805:FKP589812 FUL589805:FUL589812 GEH589805:GEH589812 GOD589805:GOD589812 GXZ589805:GXZ589812 HHV589805:HHV589812 HRR589805:HRR589812 IBN589805:IBN589812 ILJ589805:ILJ589812 IVF589805:IVF589812 JFB589805:JFB589812 JOX589805:JOX589812 JYT589805:JYT589812 KIP589805:KIP589812 KSL589805:KSL589812 LCH589805:LCH589812 LMD589805:LMD589812 LVZ589805:LVZ589812 MFV589805:MFV589812 MPR589805:MPR589812 MZN589805:MZN589812 NJJ589805:NJJ589812 NTF589805:NTF589812 ODB589805:ODB589812 OMX589805:OMX589812 OWT589805:OWT589812 PGP589805:PGP589812 PQL589805:PQL589812 QAH589805:QAH589812 QKD589805:QKD589812 QTZ589805:QTZ589812 RDV589805:RDV589812 RNR589805:RNR589812 RXN589805:RXN589812 SHJ589805:SHJ589812 SRF589805:SRF589812 TBB589805:TBB589812 TKX589805:TKX589812 TUT589805:TUT589812 UEP589805:UEP589812 UOL589805:UOL589812 UYH589805:UYH589812 VID589805:VID589812 VRZ589805:VRZ589812 WBV589805:WBV589812 WLR589805:WLR589812 WVN589805:WVN589812 I720877:I720884 JB655341:JB655348 SX655341:SX655348 ACT655341:ACT655348 AMP655341:AMP655348 AWL655341:AWL655348 BGH655341:BGH655348 BQD655341:BQD655348 BZZ655341:BZZ655348 CJV655341:CJV655348 CTR655341:CTR655348 DDN655341:DDN655348 DNJ655341:DNJ655348 DXF655341:DXF655348 EHB655341:EHB655348 EQX655341:EQX655348 FAT655341:FAT655348 FKP655341:FKP655348 FUL655341:FUL655348 GEH655341:GEH655348 GOD655341:GOD655348 GXZ655341:GXZ655348 HHV655341:HHV655348 HRR655341:HRR655348 IBN655341:IBN655348 ILJ655341:ILJ655348 IVF655341:IVF655348 JFB655341:JFB655348 JOX655341:JOX655348 JYT655341:JYT655348 KIP655341:KIP655348 KSL655341:KSL655348 LCH655341:LCH655348 LMD655341:LMD655348 LVZ655341:LVZ655348 MFV655341:MFV655348 MPR655341:MPR655348 MZN655341:MZN655348 NJJ655341:NJJ655348 NTF655341:NTF655348 ODB655341:ODB655348 OMX655341:OMX655348 OWT655341:OWT655348 PGP655341:PGP655348 PQL655341:PQL655348 QAH655341:QAH655348 QKD655341:QKD655348 QTZ655341:QTZ655348 RDV655341:RDV655348 RNR655341:RNR655348 RXN655341:RXN655348 SHJ655341:SHJ655348 SRF655341:SRF655348 TBB655341:TBB655348 TKX655341:TKX655348 TUT655341:TUT655348 UEP655341:UEP655348 UOL655341:UOL655348 UYH655341:UYH655348 VID655341:VID655348 VRZ655341:VRZ655348 WBV655341:WBV655348 WLR655341:WLR655348 WVN655341:WVN655348 I786413:I786420 JB720877:JB720884 SX720877:SX720884 ACT720877:ACT720884 AMP720877:AMP720884 AWL720877:AWL720884 BGH720877:BGH720884 BQD720877:BQD720884 BZZ720877:BZZ720884 CJV720877:CJV720884 CTR720877:CTR720884 DDN720877:DDN720884 DNJ720877:DNJ720884 DXF720877:DXF720884 EHB720877:EHB720884 EQX720877:EQX720884 FAT720877:FAT720884 FKP720877:FKP720884 FUL720877:FUL720884 GEH720877:GEH720884 GOD720877:GOD720884 GXZ720877:GXZ720884 HHV720877:HHV720884 HRR720877:HRR720884 IBN720877:IBN720884 ILJ720877:ILJ720884 IVF720877:IVF720884 JFB720877:JFB720884 JOX720877:JOX720884 JYT720877:JYT720884 KIP720877:KIP720884 KSL720877:KSL720884 LCH720877:LCH720884 LMD720877:LMD720884 LVZ720877:LVZ720884 MFV720877:MFV720884 MPR720877:MPR720884 MZN720877:MZN720884 NJJ720877:NJJ720884 NTF720877:NTF720884 ODB720877:ODB720884 OMX720877:OMX720884 OWT720877:OWT720884 PGP720877:PGP720884 PQL720877:PQL720884 QAH720877:QAH720884 QKD720877:QKD720884 QTZ720877:QTZ720884 RDV720877:RDV720884 RNR720877:RNR720884 RXN720877:RXN720884 SHJ720877:SHJ720884 SRF720877:SRF720884 TBB720877:TBB720884 TKX720877:TKX720884 TUT720877:TUT720884 UEP720877:UEP720884 UOL720877:UOL720884 UYH720877:UYH720884 VID720877:VID720884 VRZ720877:VRZ720884 WBV720877:WBV720884 WLR720877:WLR720884 WVN720877:WVN720884 I851949:I851956 JB786413:JB786420 SX786413:SX786420 ACT786413:ACT786420 AMP786413:AMP786420 AWL786413:AWL786420 BGH786413:BGH786420 BQD786413:BQD786420 BZZ786413:BZZ786420 CJV786413:CJV786420 CTR786413:CTR786420 DDN786413:DDN786420 DNJ786413:DNJ786420 DXF786413:DXF786420 EHB786413:EHB786420 EQX786413:EQX786420 FAT786413:FAT786420 FKP786413:FKP786420 FUL786413:FUL786420 GEH786413:GEH786420 GOD786413:GOD786420 GXZ786413:GXZ786420 HHV786413:HHV786420 HRR786413:HRR786420 IBN786413:IBN786420 ILJ786413:ILJ786420 IVF786413:IVF786420 JFB786413:JFB786420 JOX786413:JOX786420 JYT786413:JYT786420 KIP786413:KIP786420 KSL786413:KSL786420 LCH786413:LCH786420 LMD786413:LMD786420 LVZ786413:LVZ786420 MFV786413:MFV786420 MPR786413:MPR786420 MZN786413:MZN786420 NJJ786413:NJJ786420 NTF786413:NTF786420 ODB786413:ODB786420 OMX786413:OMX786420 OWT786413:OWT786420 PGP786413:PGP786420 PQL786413:PQL786420 QAH786413:QAH786420 QKD786413:QKD786420 QTZ786413:QTZ786420 RDV786413:RDV786420 RNR786413:RNR786420 RXN786413:RXN786420 SHJ786413:SHJ786420 SRF786413:SRF786420 TBB786413:TBB786420 TKX786413:TKX786420 TUT786413:TUT786420 UEP786413:UEP786420 UOL786413:UOL786420 UYH786413:UYH786420 VID786413:VID786420 VRZ786413:VRZ786420 WBV786413:WBV786420 WLR786413:WLR786420 WVN786413:WVN786420 I917485:I917492 JB851949:JB851956 SX851949:SX851956 ACT851949:ACT851956 AMP851949:AMP851956 AWL851949:AWL851956 BGH851949:BGH851956 BQD851949:BQD851956 BZZ851949:BZZ851956 CJV851949:CJV851956 CTR851949:CTR851956 DDN851949:DDN851956 DNJ851949:DNJ851956 DXF851949:DXF851956 EHB851949:EHB851956 EQX851949:EQX851956 FAT851949:FAT851956 FKP851949:FKP851956 FUL851949:FUL851956 GEH851949:GEH851956 GOD851949:GOD851956 GXZ851949:GXZ851956 HHV851949:HHV851956 HRR851949:HRR851956 IBN851949:IBN851956 ILJ851949:ILJ851956 IVF851949:IVF851956 JFB851949:JFB851956 JOX851949:JOX851956 JYT851949:JYT851956 KIP851949:KIP851956 KSL851949:KSL851956 LCH851949:LCH851956 LMD851949:LMD851956 LVZ851949:LVZ851956 MFV851949:MFV851956 MPR851949:MPR851956 MZN851949:MZN851956 NJJ851949:NJJ851956 NTF851949:NTF851956 ODB851949:ODB851956 OMX851949:OMX851956 OWT851949:OWT851956 PGP851949:PGP851956 PQL851949:PQL851956 QAH851949:QAH851956 QKD851949:QKD851956 QTZ851949:QTZ851956 RDV851949:RDV851956 RNR851949:RNR851956 RXN851949:RXN851956 SHJ851949:SHJ851956 SRF851949:SRF851956 TBB851949:TBB851956 TKX851949:TKX851956 TUT851949:TUT851956 UEP851949:UEP851956 UOL851949:UOL851956 UYH851949:UYH851956 VID851949:VID851956 VRZ851949:VRZ851956 WBV851949:WBV851956 WLR851949:WLR851956 WVN851949:WVN851956 I983021:I983028 JB917485:JB917492 SX917485:SX917492 ACT917485:ACT917492 AMP917485:AMP917492 AWL917485:AWL917492 BGH917485:BGH917492 BQD917485:BQD917492 BZZ917485:BZZ917492 CJV917485:CJV917492 CTR917485:CTR917492 DDN917485:DDN917492 DNJ917485:DNJ917492 DXF917485:DXF917492 EHB917485:EHB917492 EQX917485:EQX917492 FAT917485:FAT917492 FKP917485:FKP917492 FUL917485:FUL917492 GEH917485:GEH917492 GOD917485:GOD917492 GXZ917485:GXZ917492 HHV917485:HHV917492 HRR917485:HRR917492 IBN917485:IBN917492 ILJ917485:ILJ917492 IVF917485:IVF917492 JFB917485:JFB917492 JOX917485:JOX917492 JYT917485:JYT917492 KIP917485:KIP917492 KSL917485:KSL917492 LCH917485:LCH917492 LMD917485:LMD917492 LVZ917485:LVZ917492 MFV917485:MFV917492 MPR917485:MPR917492 MZN917485:MZN917492 NJJ917485:NJJ917492 NTF917485:NTF917492 ODB917485:ODB917492 OMX917485:OMX917492 OWT917485:OWT917492 PGP917485:PGP917492 PQL917485:PQL917492 QAH917485:QAH917492 QKD917485:QKD917492 QTZ917485:QTZ917492 RDV917485:RDV917492 RNR917485:RNR917492 RXN917485:RXN917492 SHJ917485:SHJ917492 SRF917485:SRF917492 TBB917485:TBB917492 TKX917485:TKX917492 TUT917485:TUT917492 UEP917485:UEP917492 UOL917485:UOL917492 UYH917485:UYH917492 VID917485:VID917492 VRZ917485:VRZ917492 WBV917485:WBV917492 WLR917485:WLR917492 WVN917485:WVN917492 WVN983021:WVN983028 JB983021:JB983028 SX983021:SX983028 ACT983021:ACT983028 AMP983021:AMP983028 AWL983021:AWL983028 BGH983021:BGH983028 BQD983021:BQD983028 BZZ983021:BZZ983028 CJV983021:CJV983028 CTR983021:CTR983028 DDN983021:DDN983028 DNJ983021:DNJ983028 DXF983021:DXF983028 EHB983021:EHB983028 EQX983021:EQX983028 FAT983021:FAT983028 FKP983021:FKP983028 FUL983021:FUL983028 GEH983021:GEH983028 GOD983021:GOD983028 GXZ983021:GXZ983028 HHV983021:HHV983028 HRR983021:HRR983028 IBN983021:IBN983028 ILJ983021:ILJ983028 IVF983021:IVF983028 JFB983021:JFB983028 JOX983021:JOX983028 JYT983021:JYT983028 KIP983021:KIP983028 KSL983021:KSL983028 LCH983021:LCH983028 LMD983021:LMD983028 LVZ983021:LVZ983028 MFV983021:MFV983028 MPR983021:MPR983028 MZN983021:MZN983028 NJJ983021:NJJ983028 NTF983021:NTF983028 ODB983021:ODB983028 OMX983021:OMX983028 OWT983021:OWT983028 PGP983021:PGP983028 PQL983021:PQL983028 QAH983021:QAH983028 QKD983021:QKD983028 QTZ983021:QTZ983028 RDV983021:RDV983028 RNR983021:RNR983028 RXN983021:RXN983028 SHJ983021:SHJ983028 SRF983021:SRF983028 TBB983021:TBB983028 TKX983021:TKX983028 TUT983021:TUT983028 UEP983021:UEP983028 UOL983021:UOL983028 UYH983021:UYH983028 VID983021:VID983028 VRZ983021:VRZ983028 WBV983021:WBV983028 WLR983021:WLR983028 JB8:JB17 SX8:SX17 ACT8:ACT17 AMP8:AMP17 AWL8:AWL17 BGH8:BGH17 BQD8:BQD17 BZZ8:BZZ17 CJV8:CJV17 CTR8:CTR17 DDN8:DDN17 DNJ8:DNJ17 DXF8:DXF17 EHB8:EHB17 EQX8:EQX17 FAT8:FAT17 FKP8:FKP17 FUL8:FUL17 GEH8:GEH17 GOD8:GOD17 GXZ8:GXZ17 HHV8:HHV17 HRR8:HRR17 IBN8:IBN17 ILJ8:ILJ17 IVF8:IVF17 JFB8:JFB17 JOX8:JOX17 JYT8:JYT17 KIP8:KIP17 KSL8:KSL17 LCH8:LCH17 LMD8:LMD17 LVZ8:LVZ17 MFV8:MFV17 MPR8:MPR17 MZN8:MZN17 NJJ8:NJJ17 NTF8:NTF17 ODB8:ODB17 OMX8:OMX17 OWT8:OWT17 PGP8:PGP17 PQL8:PQL17 QAH8:QAH17 QKD8:QKD17 QTZ8:QTZ17 RDV8:RDV17 RNR8:RNR17 RXN8:RXN17 SHJ8:SHJ17 SRF8:SRF17 TBB8:TBB17 TKX8:TKX17 TUT8:TUT17 UEP8:UEP17 UOL8:UOL17 UYH8:UYH17 VID8:VID17 VRZ8:VRZ17 WBV8:WBV17 WLR8:WLR17 WVN8:WVN17 I8:I17">
      <formula1>Plumes</formula1>
    </dataValidation>
    <dataValidation type="list" allowBlank="1" showInputMessage="1" showErrorMessage="1" sqref="WVH983021:WVH983028 WLL983021:WLL983028 C65517:C65524 IV65517:IV65524 SR65517:SR65524 ACN65517:ACN65524 AMJ65517:AMJ65524 AWF65517:AWF65524 BGB65517:BGB65524 BPX65517:BPX65524 BZT65517:BZT65524 CJP65517:CJP65524 CTL65517:CTL65524 DDH65517:DDH65524 DND65517:DND65524 DWZ65517:DWZ65524 EGV65517:EGV65524 EQR65517:EQR65524 FAN65517:FAN65524 FKJ65517:FKJ65524 FUF65517:FUF65524 GEB65517:GEB65524 GNX65517:GNX65524 GXT65517:GXT65524 HHP65517:HHP65524 HRL65517:HRL65524 IBH65517:IBH65524 ILD65517:ILD65524 IUZ65517:IUZ65524 JEV65517:JEV65524 JOR65517:JOR65524 JYN65517:JYN65524 KIJ65517:KIJ65524 KSF65517:KSF65524 LCB65517:LCB65524 LLX65517:LLX65524 LVT65517:LVT65524 MFP65517:MFP65524 MPL65517:MPL65524 MZH65517:MZH65524 NJD65517:NJD65524 NSZ65517:NSZ65524 OCV65517:OCV65524 OMR65517:OMR65524 OWN65517:OWN65524 PGJ65517:PGJ65524 PQF65517:PQF65524 QAB65517:QAB65524 QJX65517:QJX65524 QTT65517:QTT65524 RDP65517:RDP65524 RNL65517:RNL65524 RXH65517:RXH65524 SHD65517:SHD65524 SQZ65517:SQZ65524 TAV65517:TAV65524 TKR65517:TKR65524 TUN65517:TUN65524 UEJ65517:UEJ65524 UOF65517:UOF65524 UYB65517:UYB65524 VHX65517:VHX65524 VRT65517:VRT65524 WBP65517:WBP65524 WLL65517:WLL65524 WVH65517:WVH65524 C131053:C131060 IV131053:IV131060 SR131053:SR131060 ACN131053:ACN131060 AMJ131053:AMJ131060 AWF131053:AWF131060 BGB131053:BGB131060 BPX131053:BPX131060 BZT131053:BZT131060 CJP131053:CJP131060 CTL131053:CTL131060 DDH131053:DDH131060 DND131053:DND131060 DWZ131053:DWZ131060 EGV131053:EGV131060 EQR131053:EQR131060 FAN131053:FAN131060 FKJ131053:FKJ131060 FUF131053:FUF131060 GEB131053:GEB131060 GNX131053:GNX131060 GXT131053:GXT131060 HHP131053:HHP131060 HRL131053:HRL131060 IBH131053:IBH131060 ILD131053:ILD131060 IUZ131053:IUZ131060 JEV131053:JEV131060 JOR131053:JOR131060 JYN131053:JYN131060 KIJ131053:KIJ131060 KSF131053:KSF131060 LCB131053:LCB131060 LLX131053:LLX131060 LVT131053:LVT131060 MFP131053:MFP131060 MPL131053:MPL131060 MZH131053:MZH131060 NJD131053:NJD131060 NSZ131053:NSZ131060 OCV131053:OCV131060 OMR131053:OMR131060 OWN131053:OWN131060 PGJ131053:PGJ131060 PQF131053:PQF131060 QAB131053:QAB131060 QJX131053:QJX131060 QTT131053:QTT131060 RDP131053:RDP131060 RNL131053:RNL131060 RXH131053:RXH131060 SHD131053:SHD131060 SQZ131053:SQZ131060 TAV131053:TAV131060 TKR131053:TKR131060 TUN131053:TUN131060 UEJ131053:UEJ131060 UOF131053:UOF131060 UYB131053:UYB131060 VHX131053:VHX131060 VRT131053:VRT131060 WBP131053:WBP131060 WLL131053:WLL131060 WVH131053:WVH131060 C196589:C196596 IV196589:IV196596 SR196589:SR196596 ACN196589:ACN196596 AMJ196589:AMJ196596 AWF196589:AWF196596 BGB196589:BGB196596 BPX196589:BPX196596 BZT196589:BZT196596 CJP196589:CJP196596 CTL196589:CTL196596 DDH196589:DDH196596 DND196589:DND196596 DWZ196589:DWZ196596 EGV196589:EGV196596 EQR196589:EQR196596 FAN196589:FAN196596 FKJ196589:FKJ196596 FUF196589:FUF196596 GEB196589:GEB196596 GNX196589:GNX196596 GXT196589:GXT196596 HHP196589:HHP196596 HRL196589:HRL196596 IBH196589:IBH196596 ILD196589:ILD196596 IUZ196589:IUZ196596 JEV196589:JEV196596 JOR196589:JOR196596 JYN196589:JYN196596 KIJ196589:KIJ196596 KSF196589:KSF196596 LCB196589:LCB196596 LLX196589:LLX196596 LVT196589:LVT196596 MFP196589:MFP196596 MPL196589:MPL196596 MZH196589:MZH196596 NJD196589:NJD196596 NSZ196589:NSZ196596 OCV196589:OCV196596 OMR196589:OMR196596 OWN196589:OWN196596 PGJ196589:PGJ196596 PQF196589:PQF196596 QAB196589:QAB196596 QJX196589:QJX196596 QTT196589:QTT196596 RDP196589:RDP196596 RNL196589:RNL196596 RXH196589:RXH196596 SHD196589:SHD196596 SQZ196589:SQZ196596 TAV196589:TAV196596 TKR196589:TKR196596 TUN196589:TUN196596 UEJ196589:UEJ196596 UOF196589:UOF196596 UYB196589:UYB196596 VHX196589:VHX196596 VRT196589:VRT196596 WBP196589:WBP196596 WLL196589:WLL196596 WVH196589:WVH196596 C262125:C262132 IV262125:IV262132 SR262125:SR262132 ACN262125:ACN262132 AMJ262125:AMJ262132 AWF262125:AWF262132 BGB262125:BGB262132 BPX262125:BPX262132 BZT262125:BZT262132 CJP262125:CJP262132 CTL262125:CTL262132 DDH262125:DDH262132 DND262125:DND262132 DWZ262125:DWZ262132 EGV262125:EGV262132 EQR262125:EQR262132 FAN262125:FAN262132 FKJ262125:FKJ262132 FUF262125:FUF262132 GEB262125:GEB262132 GNX262125:GNX262132 GXT262125:GXT262132 HHP262125:HHP262132 HRL262125:HRL262132 IBH262125:IBH262132 ILD262125:ILD262132 IUZ262125:IUZ262132 JEV262125:JEV262132 JOR262125:JOR262132 JYN262125:JYN262132 KIJ262125:KIJ262132 KSF262125:KSF262132 LCB262125:LCB262132 LLX262125:LLX262132 LVT262125:LVT262132 MFP262125:MFP262132 MPL262125:MPL262132 MZH262125:MZH262132 NJD262125:NJD262132 NSZ262125:NSZ262132 OCV262125:OCV262132 OMR262125:OMR262132 OWN262125:OWN262132 PGJ262125:PGJ262132 PQF262125:PQF262132 QAB262125:QAB262132 QJX262125:QJX262132 QTT262125:QTT262132 RDP262125:RDP262132 RNL262125:RNL262132 RXH262125:RXH262132 SHD262125:SHD262132 SQZ262125:SQZ262132 TAV262125:TAV262132 TKR262125:TKR262132 TUN262125:TUN262132 UEJ262125:UEJ262132 UOF262125:UOF262132 UYB262125:UYB262132 VHX262125:VHX262132 VRT262125:VRT262132 WBP262125:WBP262132 WLL262125:WLL262132 WVH262125:WVH262132 C327661:C327668 IV327661:IV327668 SR327661:SR327668 ACN327661:ACN327668 AMJ327661:AMJ327668 AWF327661:AWF327668 BGB327661:BGB327668 BPX327661:BPX327668 BZT327661:BZT327668 CJP327661:CJP327668 CTL327661:CTL327668 DDH327661:DDH327668 DND327661:DND327668 DWZ327661:DWZ327668 EGV327661:EGV327668 EQR327661:EQR327668 FAN327661:FAN327668 FKJ327661:FKJ327668 FUF327661:FUF327668 GEB327661:GEB327668 GNX327661:GNX327668 GXT327661:GXT327668 HHP327661:HHP327668 HRL327661:HRL327668 IBH327661:IBH327668 ILD327661:ILD327668 IUZ327661:IUZ327668 JEV327661:JEV327668 JOR327661:JOR327668 JYN327661:JYN327668 KIJ327661:KIJ327668 KSF327661:KSF327668 LCB327661:LCB327668 LLX327661:LLX327668 LVT327661:LVT327668 MFP327661:MFP327668 MPL327661:MPL327668 MZH327661:MZH327668 NJD327661:NJD327668 NSZ327661:NSZ327668 OCV327661:OCV327668 OMR327661:OMR327668 OWN327661:OWN327668 PGJ327661:PGJ327668 PQF327661:PQF327668 QAB327661:QAB327668 QJX327661:QJX327668 QTT327661:QTT327668 RDP327661:RDP327668 RNL327661:RNL327668 RXH327661:RXH327668 SHD327661:SHD327668 SQZ327661:SQZ327668 TAV327661:TAV327668 TKR327661:TKR327668 TUN327661:TUN327668 UEJ327661:UEJ327668 UOF327661:UOF327668 UYB327661:UYB327668 VHX327661:VHX327668 VRT327661:VRT327668 WBP327661:WBP327668 WLL327661:WLL327668 WVH327661:WVH327668 C393197:C393204 IV393197:IV393204 SR393197:SR393204 ACN393197:ACN393204 AMJ393197:AMJ393204 AWF393197:AWF393204 BGB393197:BGB393204 BPX393197:BPX393204 BZT393197:BZT393204 CJP393197:CJP393204 CTL393197:CTL393204 DDH393197:DDH393204 DND393197:DND393204 DWZ393197:DWZ393204 EGV393197:EGV393204 EQR393197:EQR393204 FAN393197:FAN393204 FKJ393197:FKJ393204 FUF393197:FUF393204 GEB393197:GEB393204 GNX393197:GNX393204 GXT393197:GXT393204 HHP393197:HHP393204 HRL393197:HRL393204 IBH393197:IBH393204 ILD393197:ILD393204 IUZ393197:IUZ393204 JEV393197:JEV393204 JOR393197:JOR393204 JYN393197:JYN393204 KIJ393197:KIJ393204 KSF393197:KSF393204 LCB393197:LCB393204 LLX393197:LLX393204 LVT393197:LVT393204 MFP393197:MFP393204 MPL393197:MPL393204 MZH393197:MZH393204 NJD393197:NJD393204 NSZ393197:NSZ393204 OCV393197:OCV393204 OMR393197:OMR393204 OWN393197:OWN393204 PGJ393197:PGJ393204 PQF393197:PQF393204 QAB393197:QAB393204 QJX393197:QJX393204 QTT393197:QTT393204 RDP393197:RDP393204 RNL393197:RNL393204 RXH393197:RXH393204 SHD393197:SHD393204 SQZ393197:SQZ393204 TAV393197:TAV393204 TKR393197:TKR393204 TUN393197:TUN393204 UEJ393197:UEJ393204 UOF393197:UOF393204 UYB393197:UYB393204 VHX393197:VHX393204 VRT393197:VRT393204 WBP393197:WBP393204 WLL393197:WLL393204 WVH393197:WVH393204 C458733:C458740 IV458733:IV458740 SR458733:SR458740 ACN458733:ACN458740 AMJ458733:AMJ458740 AWF458733:AWF458740 BGB458733:BGB458740 BPX458733:BPX458740 BZT458733:BZT458740 CJP458733:CJP458740 CTL458733:CTL458740 DDH458733:DDH458740 DND458733:DND458740 DWZ458733:DWZ458740 EGV458733:EGV458740 EQR458733:EQR458740 FAN458733:FAN458740 FKJ458733:FKJ458740 FUF458733:FUF458740 GEB458733:GEB458740 GNX458733:GNX458740 GXT458733:GXT458740 HHP458733:HHP458740 HRL458733:HRL458740 IBH458733:IBH458740 ILD458733:ILD458740 IUZ458733:IUZ458740 JEV458733:JEV458740 JOR458733:JOR458740 JYN458733:JYN458740 KIJ458733:KIJ458740 KSF458733:KSF458740 LCB458733:LCB458740 LLX458733:LLX458740 LVT458733:LVT458740 MFP458733:MFP458740 MPL458733:MPL458740 MZH458733:MZH458740 NJD458733:NJD458740 NSZ458733:NSZ458740 OCV458733:OCV458740 OMR458733:OMR458740 OWN458733:OWN458740 PGJ458733:PGJ458740 PQF458733:PQF458740 QAB458733:QAB458740 QJX458733:QJX458740 QTT458733:QTT458740 RDP458733:RDP458740 RNL458733:RNL458740 RXH458733:RXH458740 SHD458733:SHD458740 SQZ458733:SQZ458740 TAV458733:TAV458740 TKR458733:TKR458740 TUN458733:TUN458740 UEJ458733:UEJ458740 UOF458733:UOF458740 UYB458733:UYB458740 VHX458733:VHX458740 VRT458733:VRT458740 WBP458733:WBP458740 WLL458733:WLL458740 WVH458733:WVH458740 C524269:C524276 IV524269:IV524276 SR524269:SR524276 ACN524269:ACN524276 AMJ524269:AMJ524276 AWF524269:AWF524276 BGB524269:BGB524276 BPX524269:BPX524276 BZT524269:BZT524276 CJP524269:CJP524276 CTL524269:CTL524276 DDH524269:DDH524276 DND524269:DND524276 DWZ524269:DWZ524276 EGV524269:EGV524276 EQR524269:EQR524276 FAN524269:FAN524276 FKJ524269:FKJ524276 FUF524269:FUF524276 GEB524269:GEB524276 GNX524269:GNX524276 GXT524269:GXT524276 HHP524269:HHP524276 HRL524269:HRL524276 IBH524269:IBH524276 ILD524269:ILD524276 IUZ524269:IUZ524276 JEV524269:JEV524276 JOR524269:JOR524276 JYN524269:JYN524276 KIJ524269:KIJ524276 KSF524269:KSF524276 LCB524269:LCB524276 LLX524269:LLX524276 LVT524269:LVT524276 MFP524269:MFP524276 MPL524269:MPL524276 MZH524269:MZH524276 NJD524269:NJD524276 NSZ524269:NSZ524276 OCV524269:OCV524276 OMR524269:OMR524276 OWN524269:OWN524276 PGJ524269:PGJ524276 PQF524269:PQF524276 QAB524269:QAB524276 QJX524269:QJX524276 QTT524269:QTT524276 RDP524269:RDP524276 RNL524269:RNL524276 RXH524269:RXH524276 SHD524269:SHD524276 SQZ524269:SQZ524276 TAV524269:TAV524276 TKR524269:TKR524276 TUN524269:TUN524276 UEJ524269:UEJ524276 UOF524269:UOF524276 UYB524269:UYB524276 VHX524269:VHX524276 VRT524269:VRT524276 WBP524269:WBP524276 WLL524269:WLL524276 WVH524269:WVH524276 C589805:C589812 IV589805:IV589812 SR589805:SR589812 ACN589805:ACN589812 AMJ589805:AMJ589812 AWF589805:AWF589812 BGB589805:BGB589812 BPX589805:BPX589812 BZT589805:BZT589812 CJP589805:CJP589812 CTL589805:CTL589812 DDH589805:DDH589812 DND589805:DND589812 DWZ589805:DWZ589812 EGV589805:EGV589812 EQR589805:EQR589812 FAN589805:FAN589812 FKJ589805:FKJ589812 FUF589805:FUF589812 GEB589805:GEB589812 GNX589805:GNX589812 GXT589805:GXT589812 HHP589805:HHP589812 HRL589805:HRL589812 IBH589805:IBH589812 ILD589805:ILD589812 IUZ589805:IUZ589812 JEV589805:JEV589812 JOR589805:JOR589812 JYN589805:JYN589812 KIJ589805:KIJ589812 KSF589805:KSF589812 LCB589805:LCB589812 LLX589805:LLX589812 LVT589805:LVT589812 MFP589805:MFP589812 MPL589805:MPL589812 MZH589805:MZH589812 NJD589805:NJD589812 NSZ589805:NSZ589812 OCV589805:OCV589812 OMR589805:OMR589812 OWN589805:OWN589812 PGJ589805:PGJ589812 PQF589805:PQF589812 QAB589805:QAB589812 QJX589805:QJX589812 QTT589805:QTT589812 RDP589805:RDP589812 RNL589805:RNL589812 RXH589805:RXH589812 SHD589805:SHD589812 SQZ589805:SQZ589812 TAV589805:TAV589812 TKR589805:TKR589812 TUN589805:TUN589812 UEJ589805:UEJ589812 UOF589805:UOF589812 UYB589805:UYB589812 VHX589805:VHX589812 VRT589805:VRT589812 WBP589805:WBP589812 WLL589805:WLL589812 WVH589805:WVH589812 C655341:C655348 IV655341:IV655348 SR655341:SR655348 ACN655341:ACN655348 AMJ655341:AMJ655348 AWF655341:AWF655348 BGB655341:BGB655348 BPX655341:BPX655348 BZT655341:BZT655348 CJP655341:CJP655348 CTL655341:CTL655348 DDH655341:DDH655348 DND655341:DND655348 DWZ655341:DWZ655348 EGV655341:EGV655348 EQR655341:EQR655348 FAN655341:FAN655348 FKJ655341:FKJ655348 FUF655341:FUF655348 GEB655341:GEB655348 GNX655341:GNX655348 GXT655341:GXT655348 HHP655341:HHP655348 HRL655341:HRL655348 IBH655341:IBH655348 ILD655341:ILD655348 IUZ655341:IUZ655348 JEV655341:JEV655348 JOR655341:JOR655348 JYN655341:JYN655348 KIJ655341:KIJ655348 KSF655341:KSF655348 LCB655341:LCB655348 LLX655341:LLX655348 LVT655341:LVT655348 MFP655341:MFP655348 MPL655341:MPL655348 MZH655341:MZH655348 NJD655341:NJD655348 NSZ655341:NSZ655348 OCV655341:OCV655348 OMR655341:OMR655348 OWN655341:OWN655348 PGJ655341:PGJ655348 PQF655341:PQF655348 QAB655341:QAB655348 QJX655341:QJX655348 QTT655341:QTT655348 RDP655341:RDP655348 RNL655341:RNL655348 RXH655341:RXH655348 SHD655341:SHD655348 SQZ655341:SQZ655348 TAV655341:TAV655348 TKR655341:TKR655348 TUN655341:TUN655348 UEJ655341:UEJ655348 UOF655341:UOF655348 UYB655341:UYB655348 VHX655341:VHX655348 VRT655341:VRT655348 WBP655341:WBP655348 WLL655341:WLL655348 WVH655341:WVH655348 C720877:C720884 IV720877:IV720884 SR720877:SR720884 ACN720877:ACN720884 AMJ720877:AMJ720884 AWF720877:AWF720884 BGB720877:BGB720884 BPX720877:BPX720884 BZT720877:BZT720884 CJP720877:CJP720884 CTL720877:CTL720884 DDH720877:DDH720884 DND720877:DND720884 DWZ720877:DWZ720884 EGV720877:EGV720884 EQR720877:EQR720884 FAN720877:FAN720884 FKJ720877:FKJ720884 FUF720877:FUF720884 GEB720877:GEB720884 GNX720877:GNX720884 GXT720877:GXT720884 HHP720877:HHP720884 HRL720877:HRL720884 IBH720877:IBH720884 ILD720877:ILD720884 IUZ720877:IUZ720884 JEV720877:JEV720884 JOR720877:JOR720884 JYN720877:JYN720884 KIJ720877:KIJ720884 KSF720877:KSF720884 LCB720877:LCB720884 LLX720877:LLX720884 LVT720877:LVT720884 MFP720877:MFP720884 MPL720877:MPL720884 MZH720877:MZH720884 NJD720877:NJD720884 NSZ720877:NSZ720884 OCV720877:OCV720884 OMR720877:OMR720884 OWN720877:OWN720884 PGJ720877:PGJ720884 PQF720877:PQF720884 QAB720877:QAB720884 QJX720877:QJX720884 QTT720877:QTT720884 RDP720877:RDP720884 RNL720877:RNL720884 RXH720877:RXH720884 SHD720877:SHD720884 SQZ720877:SQZ720884 TAV720877:TAV720884 TKR720877:TKR720884 TUN720877:TUN720884 UEJ720877:UEJ720884 UOF720877:UOF720884 UYB720877:UYB720884 VHX720877:VHX720884 VRT720877:VRT720884 WBP720877:WBP720884 WLL720877:WLL720884 WVH720877:WVH720884 C786413:C786420 IV786413:IV786420 SR786413:SR786420 ACN786413:ACN786420 AMJ786413:AMJ786420 AWF786413:AWF786420 BGB786413:BGB786420 BPX786413:BPX786420 BZT786413:BZT786420 CJP786413:CJP786420 CTL786413:CTL786420 DDH786413:DDH786420 DND786413:DND786420 DWZ786413:DWZ786420 EGV786413:EGV786420 EQR786413:EQR786420 FAN786413:FAN786420 FKJ786413:FKJ786420 FUF786413:FUF786420 GEB786413:GEB786420 GNX786413:GNX786420 GXT786413:GXT786420 HHP786413:HHP786420 HRL786413:HRL786420 IBH786413:IBH786420 ILD786413:ILD786420 IUZ786413:IUZ786420 JEV786413:JEV786420 JOR786413:JOR786420 JYN786413:JYN786420 KIJ786413:KIJ786420 KSF786413:KSF786420 LCB786413:LCB786420 LLX786413:LLX786420 LVT786413:LVT786420 MFP786413:MFP786420 MPL786413:MPL786420 MZH786413:MZH786420 NJD786413:NJD786420 NSZ786413:NSZ786420 OCV786413:OCV786420 OMR786413:OMR786420 OWN786413:OWN786420 PGJ786413:PGJ786420 PQF786413:PQF786420 QAB786413:QAB786420 QJX786413:QJX786420 QTT786413:QTT786420 RDP786413:RDP786420 RNL786413:RNL786420 RXH786413:RXH786420 SHD786413:SHD786420 SQZ786413:SQZ786420 TAV786413:TAV786420 TKR786413:TKR786420 TUN786413:TUN786420 UEJ786413:UEJ786420 UOF786413:UOF786420 UYB786413:UYB786420 VHX786413:VHX786420 VRT786413:VRT786420 WBP786413:WBP786420 WLL786413:WLL786420 WVH786413:WVH786420 C851949:C851956 IV851949:IV851956 SR851949:SR851956 ACN851949:ACN851956 AMJ851949:AMJ851956 AWF851949:AWF851956 BGB851949:BGB851956 BPX851949:BPX851956 BZT851949:BZT851956 CJP851949:CJP851956 CTL851949:CTL851956 DDH851949:DDH851956 DND851949:DND851956 DWZ851949:DWZ851956 EGV851949:EGV851956 EQR851949:EQR851956 FAN851949:FAN851956 FKJ851949:FKJ851956 FUF851949:FUF851956 GEB851949:GEB851956 GNX851949:GNX851956 GXT851949:GXT851956 HHP851949:HHP851956 HRL851949:HRL851956 IBH851949:IBH851956 ILD851949:ILD851956 IUZ851949:IUZ851956 JEV851949:JEV851956 JOR851949:JOR851956 JYN851949:JYN851956 KIJ851949:KIJ851956 KSF851949:KSF851956 LCB851949:LCB851956 LLX851949:LLX851956 LVT851949:LVT851956 MFP851949:MFP851956 MPL851949:MPL851956 MZH851949:MZH851956 NJD851949:NJD851956 NSZ851949:NSZ851956 OCV851949:OCV851956 OMR851949:OMR851956 OWN851949:OWN851956 PGJ851949:PGJ851956 PQF851949:PQF851956 QAB851949:QAB851956 QJX851949:QJX851956 QTT851949:QTT851956 RDP851949:RDP851956 RNL851949:RNL851956 RXH851949:RXH851956 SHD851949:SHD851956 SQZ851949:SQZ851956 TAV851949:TAV851956 TKR851949:TKR851956 TUN851949:TUN851956 UEJ851949:UEJ851956 UOF851949:UOF851956 UYB851949:UYB851956 VHX851949:VHX851956 VRT851949:VRT851956 WBP851949:WBP851956 WLL851949:WLL851956 WVH851949:WVH851956 C917485:C917492 IV917485:IV917492 SR917485:SR917492 ACN917485:ACN917492 AMJ917485:AMJ917492 AWF917485:AWF917492 BGB917485:BGB917492 BPX917485:BPX917492 BZT917485:BZT917492 CJP917485:CJP917492 CTL917485:CTL917492 DDH917485:DDH917492 DND917485:DND917492 DWZ917485:DWZ917492 EGV917485:EGV917492 EQR917485:EQR917492 FAN917485:FAN917492 FKJ917485:FKJ917492 FUF917485:FUF917492 GEB917485:GEB917492 GNX917485:GNX917492 GXT917485:GXT917492 HHP917485:HHP917492 HRL917485:HRL917492 IBH917485:IBH917492 ILD917485:ILD917492 IUZ917485:IUZ917492 JEV917485:JEV917492 JOR917485:JOR917492 JYN917485:JYN917492 KIJ917485:KIJ917492 KSF917485:KSF917492 LCB917485:LCB917492 LLX917485:LLX917492 LVT917485:LVT917492 MFP917485:MFP917492 MPL917485:MPL917492 MZH917485:MZH917492 NJD917485:NJD917492 NSZ917485:NSZ917492 OCV917485:OCV917492 OMR917485:OMR917492 OWN917485:OWN917492 PGJ917485:PGJ917492 PQF917485:PQF917492 QAB917485:QAB917492 QJX917485:QJX917492 QTT917485:QTT917492 RDP917485:RDP917492 RNL917485:RNL917492 RXH917485:RXH917492 SHD917485:SHD917492 SQZ917485:SQZ917492 TAV917485:TAV917492 TKR917485:TKR917492 TUN917485:TUN917492 UEJ917485:UEJ917492 UOF917485:UOF917492 UYB917485:UYB917492 VHX917485:VHX917492 VRT917485:VRT917492 WBP917485:WBP917492 WLL917485:WLL917492 WVH917485:WVH917492 C983021:C983028 IV983021:IV983028 SR983021:SR983028 ACN983021:ACN983028 AMJ983021:AMJ983028 AWF983021:AWF983028 BGB983021:BGB983028 BPX983021:BPX983028 BZT983021:BZT983028 CJP983021:CJP983028 CTL983021:CTL983028 DDH983021:DDH983028 DND983021:DND983028 DWZ983021:DWZ983028 EGV983021:EGV983028 EQR983021:EQR983028 FAN983021:FAN983028 FKJ983021:FKJ983028 FUF983021:FUF983028 GEB983021:GEB983028 GNX983021:GNX983028 GXT983021:GXT983028 HHP983021:HHP983028 HRL983021:HRL983028 IBH983021:IBH983028 ILD983021:ILD983028 IUZ983021:IUZ983028 JEV983021:JEV983028 JOR983021:JOR983028 JYN983021:JYN983028 KIJ983021:KIJ983028 KSF983021:KSF983028 LCB983021:LCB983028 LLX983021:LLX983028 LVT983021:LVT983028 MFP983021:MFP983028 MPL983021:MPL983028 MZH983021:MZH983028 NJD983021:NJD983028 NSZ983021:NSZ983028 OCV983021:OCV983028 OMR983021:OMR983028 OWN983021:OWN983028 PGJ983021:PGJ983028 PQF983021:PQF983028 QAB983021:QAB983028 QJX983021:QJX983028 QTT983021:QTT983028 RDP983021:RDP983028 RNL983021:RNL983028 RXH983021:RXH983028 SHD983021:SHD983028 SQZ983021:SQZ983028 TAV983021:TAV983028 TKR983021:TKR983028 TUN983021:TUN983028 UEJ983021:UEJ983028 UOF983021:UOF983028 UYB983021:UYB983028 VHX983021:VHX983028 VRT983021:VRT983028 WBP983021:WBP983028 IV8:IV17 SR8:SR17 ACN8:ACN17 AMJ8:AMJ17 AWF8:AWF17 BGB8:BGB17 BPX8:BPX17 BZT8:BZT17 CJP8:CJP17 CTL8:CTL17 DDH8:DDH17 DND8:DND17 DWZ8:DWZ17 EGV8:EGV17 EQR8:EQR17 FAN8:FAN17 FKJ8:FKJ17 FUF8:FUF17 GEB8:GEB17 GNX8:GNX17 GXT8:GXT17 HHP8:HHP17 HRL8:HRL17 IBH8:IBH17 ILD8:ILD17 IUZ8:IUZ17 JEV8:JEV17 JOR8:JOR17 JYN8:JYN17 KIJ8:KIJ17 KSF8:KSF17 LCB8:LCB17 LLX8:LLX17 LVT8:LVT17 MFP8:MFP17 MPL8:MPL17 MZH8:MZH17 NJD8:NJD17 NSZ8:NSZ17 OCV8:OCV17 OMR8:OMR17 OWN8:OWN17 PGJ8:PGJ17 PQF8:PQF17 QAB8:QAB17 QJX8:QJX17 QTT8:QTT17 RDP8:RDP17 RNL8:RNL17 RXH8:RXH17 SHD8:SHD17 SQZ8:SQZ17 TAV8:TAV17 TKR8:TKR17 TUN8:TUN17 UEJ8:UEJ17 UOF8:UOF17 UYB8:UYB17 VHX8:VHX17 VRT8:VRT17 WBP8:WBP17 WLL8:WLL17 WVH8:WVH17">
      <formula1>Arrow</formula1>
    </dataValidation>
    <dataValidation type="list" allowBlank="1" showInputMessage="1" showErrorMessage="1" sqref="WVP983015:WVP983017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L65511:L65513 JD65511:JD65513 SZ65511:SZ65513 ACV65511:ACV65513 AMR65511:AMR65513 AWN65511:AWN65513 BGJ65511:BGJ65513 BQF65511:BQF65513 CAB65511:CAB65513 CJX65511:CJX65513 CTT65511:CTT65513 DDP65511:DDP65513 DNL65511:DNL65513 DXH65511:DXH65513 EHD65511:EHD65513 EQZ65511:EQZ65513 FAV65511:FAV65513 FKR65511:FKR65513 FUN65511:FUN65513 GEJ65511:GEJ65513 GOF65511:GOF65513 GYB65511:GYB65513 HHX65511:HHX65513 HRT65511:HRT65513 IBP65511:IBP65513 ILL65511:ILL65513 IVH65511:IVH65513 JFD65511:JFD65513 JOZ65511:JOZ65513 JYV65511:JYV65513 KIR65511:KIR65513 KSN65511:KSN65513 LCJ65511:LCJ65513 LMF65511:LMF65513 LWB65511:LWB65513 MFX65511:MFX65513 MPT65511:MPT65513 MZP65511:MZP65513 NJL65511:NJL65513 NTH65511:NTH65513 ODD65511:ODD65513 OMZ65511:OMZ65513 OWV65511:OWV65513 PGR65511:PGR65513 PQN65511:PQN65513 QAJ65511:QAJ65513 QKF65511:QKF65513 QUB65511:QUB65513 RDX65511:RDX65513 RNT65511:RNT65513 RXP65511:RXP65513 SHL65511:SHL65513 SRH65511:SRH65513 TBD65511:TBD65513 TKZ65511:TKZ65513 TUV65511:TUV65513 UER65511:UER65513 UON65511:UON65513 UYJ65511:UYJ65513 VIF65511:VIF65513 VSB65511:VSB65513 WBX65511:WBX65513 WLT65511:WLT65513 WVP65511:WVP65513 L131047:L131049 JD131047:JD131049 SZ131047:SZ131049 ACV131047:ACV131049 AMR131047:AMR131049 AWN131047:AWN131049 BGJ131047:BGJ131049 BQF131047:BQF131049 CAB131047:CAB131049 CJX131047:CJX131049 CTT131047:CTT131049 DDP131047:DDP131049 DNL131047:DNL131049 DXH131047:DXH131049 EHD131047:EHD131049 EQZ131047:EQZ131049 FAV131047:FAV131049 FKR131047:FKR131049 FUN131047:FUN131049 GEJ131047:GEJ131049 GOF131047:GOF131049 GYB131047:GYB131049 HHX131047:HHX131049 HRT131047:HRT131049 IBP131047:IBP131049 ILL131047:ILL131049 IVH131047:IVH131049 JFD131047:JFD131049 JOZ131047:JOZ131049 JYV131047:JYV131049 KIR131047:KIR131049 KSN131047:KSN131049 LCJ131047:LCJ131049 LMF131047:LMF131049 LWB131047:LWB131049 MFX131047:MFX131049 MPT131047:MPT131049 MZP131047:MZP131049 NJL131047:NJL131049 NTH131047:NTH131049 ODD131047:ODD131049 OMZ131047:OMZ131049 OWV131047:OWV131049 PGR131047:PGR131049 PQN131047:PQN131049 QAJ131047:QAJ131049 QKF131047:QKF131049 QUB131047:QUB131049 RDX131047:RDX131049 RNT131047:RNT131049 RXP131047:RXP131049 SHL131047:SHL131049 SRH131047:SRH131049 TBD131047:TBD131049 TKZ131047:TKZ131049 TUV131047:TUV131049 UER131047:UER131049 UON131047:UON131049 UYJ131047:UYJ131049 VIF131047:VIF131049 VSB131047:VSB131049 WBX131047:WBX131049 WLT131047:WLT131049 WVP131047:WVP131049 L196583:L196585 JD196583:JD196585 SZ196583:SZ196585 ACV196583:ACV196585 AMR196583:AMR196585 AWN196583:AWN196585 BGJ196583:BGJ196585 BQF196583:BQF196585 CAB196583:CAB196585 CJX196583:CJX196585 CTT196583:CTT196585 DDP196583:DDP196585 DNL196583:DNL196585 DXH196583:DXH196585 EHD196583:EHD196585 EQZ196583:EQZ196585 FAV196583:FAV196585 FKR196583:FKR196585 FUN196583:FUN196585 GEJ196583:GEJ196585 GOF196583:GOF196585 GYB196583:GYB196585 HHX196583:HHX196585 HRT196583:HRT196585 IBP196583:IBP196585 ILL196583:ILL196585 IVH196583:IVH196585 JFD196583:JFD196585 JOZ196583:JOZ196585 JYV196583:JYV196585 KIR196583:KIR196585 KSN196583:KSN196585 LCJ196583:LCJ196585 LMF196583:LMF196585 LWB196583:LWB196585 MFX196583:MFX196585 MPT196583:MPT196585 MZP196583:MZP196585 NJL196583:NJL196585 NTH196583:NTH196585 ODD196583:ODD196585 OMZ196583:OMZ196585 OWV196583:OWV196585 PGR196583:PGR196585 PQN196583:PQN196585 QAJ196583:QAJ196585 QKF196583:QKF196585 QUB196583:QUB196585 RDX196583:RDX196585 RNT196583:RNT196585 RXP196583:RXP196585 SHL196583:SHL196585 SRH196583:SRH196585 TBD196583:TBD196585 TKZ196583:TKZ196585 TUV196583:TUV196585 UER196583:UER196585 UON196583:UON196585 UYJ196583:UYJ196585 VIF196583:VIF196585 VSB196583:VSB196585 WBX196583:WBX196585 WLT196583:WLT196585 WVP196583:WVP196585 L262119:L262121 JD262119:JD262121 SZ262119:SZ262121 ACV262119:ACV262121 AMR262119:AMR262121 AWN262119:AWN262121 BGJ262119:BGJ262121 BQF262119:BQF262121 CAB262119:CAB262121 CJX262119:CJX262121 CTT262119:CTT262121 DDP262119:DDP262121 DNL262119:DNL262121 DXH262119:DXH262121 EHD262119:EHD262121 EQZ262119:EQZ262121 FAV262119:FAV262121 FKR262119:FKR262121 FUN262119:FUN262121 GEJ262119:GEJ262121 GOF262119:GOF262121 GYB262119:GYB262121 HHX262119:HHX262121 HRT262119:HRT262121 IBP262119:IBP262121 ILL262119:ILL262121 IVH262119:IVH262121 JFD262119:JFD262121 JOZ262119:JOZ262121 JYV262119:JYV262121 KIR262119:KIR262121 KSN262119:KSN262121 LCJ262119:LCJ262121 LMF262119:LMF262121 LWB262119:LWB262121 MFX262119:MFX262121 MPT262119:MPT262121 MZP262119:MZP262121 NJL262119:NJL262121 NTH262119:NTH262121 ODD262119:ODD262121 OMZ262119:OMZ262121 OWV262119:OWV262121 PGR262119:PGR262121 PQN262119:PQN262121 QAJ262119:QAJ262121 QKF262119:QKF262121 QUB262119:QUB262121 RDX262119:RDX262121 RNT262119:RNT262121 RXP262119:RXP262121 SHL262119:SHL262121 SRH262119:SRH262121 TBD262119:TBD262121 TKZ262119:TKZ262121 TUV262119:TUV262121 UER262119:UER262121 UON262119:UON262121 UYJ262119:UYJ262121 VIF262119:VIF262121 VSB262119:VSB262121 WBX262119:WBX262121 WLT262119:WLT262121 WVP262119:WVP262121 L327655:L327657 JD327655:JD327657 SZ327655:SZ327657 ACV327655:ACV327657 AMR327655:AMR327657 AWN327655:AWN327657 BGJ327655:BGJ327657 BQF327655:BQF327657 CAB327655:CAB327657 CJX327655:CJX327657 CTT327655:CTT327657 DDP327655:DDP327657 DNL327655:DNL327657 DXH327655:DXH327657 EHD327655:EHD327657 EQZ327655:EQZ327657 FAV327655:FAV327657 FKR327655:FKR327657 FUN327655:FUN327657 GEJ327655:GEJ327657 GOF327655:GOF327657 GYB327655:GYB327657 HHX327655:HHX327657 HRT327655:HRT327657 IBP327655:IBP327657 ILL327655:ILL327657 IVH327655:IVH327657 JFD327655:JFD327657 JOZ327655:JOZ327657 JYV327655:JYV327657 KIR327655:KIR327657 KSN327655:KSN327657 LCJ327655:LCJ327657 LMF327655:LMF327657 LWB327655:LWB327657 MFX327655:MFX327657 MPT327655:MPT327657 MZP327655:MZP327657 NJL327655:NJL327657 NTH327655:NTH327657 ODD327655:ODD327657 OMZ327655:OMZ327657 OWV327655:OWV327657 PGR327655:PGR327657 PQN327655:PQN327657 QAJ327655:QAJ327657 QKF327655:QKF327657 QUB327655:QUB327657 RDX327655:RDX327657 RNT327655:RNT327657 RXP327655:RXP327657 SHL327655:SHL327657 SRH327655:SRH327657 TBD327655:TBD327657 TKZ327655:TKZ327657 TUV327655:TUV327657 UER327655:UER327657 UON327655:UON327657 UYJ327655:UYJ327657 VIF327655:VIF327657 VSB327655:VSB327657 WBX327655:WBX327657 WLT327655:WLT327657 WVP327655:WVP327657 L393191:L393193 JD393191:JD393193 SZ393191:SZ393193 ACV393191:ACV393193 AMR393191:AMR393193 AWN393191:AWN393193 BGJ393191:BGJ393193 BQF393191:BQF393193 CAB393191:CAB393193 CJX393191:CJX393193 CTT393191:CTT393193 DDP393191:DDP393193 DNL393191:DNL393193 DXH393191:DXH393193 EHD393191:EHD393193 EQZ393191:EQZ393193 FAV393191:FAV393193 FKR393191:FKR393193 FUN393191:FUN393193 GEJ393191:GEJ393193 GOF393191:GOF393193 GYB393191:GYB393193 HHX393191:HHX393193 HRT393191:HRT393193 IBP393191:IBP393193 ILL393191:ILL393193 IVH393191:IVH393193 JFD393191:JFD393193 JOZ393191:JOZ393193 JYV393191:JYV393193 KIR393191:KIR393193 KSN393191:KSN393193 LCJ393191:LCJ393193 LMF393191:LMF393193 LWB393191:LWB393193 MFX393191:MFX393193 MPT393191:MPT393193 MZP393191:MZP393193 NJL393191:NJL393193 NTH393191:NTH393193 ODD393191:ODD393193 OMZ393191:OMZ393193 OWV393191:OWV393193 PGR393191:PGR393193 PQN393191:PQN393193 QAJ393191:QAJ393193 QKF393191:QKF393193 QUB393191:QUB393193 RDX393191:RDX393193 RNT393191:RNT393193 RXP393191:RXP393193 SHL393191:SHL393193 SRH393191:SRH393193 TBD393191:TBD393193 TKZ393191:TKZ393193 TUV393191:TUV393193 UER393191:UER393193 UON393191:UON393193 UYJ393191:UYJ393193 VIF393191:VIF393193 VSB393191:VSB393193 WBX393191:WBX393193 WLT393191:WLT393193 WVP393191:WVP393193 L458727:L458729 JD458727:JD458729 SZ458727:SZ458729 ACV458727:ACV458729 AMR458727:AMR458729 AWN458727:AWN458729 BGJ458727:BGJ458729 BQF458727:BQF458729 CAB458727:CAB458729 CJX458727:CJX458729 CTT458727:CTT458729 DDP458727:DDP458729 DNL458727:DNL458729 DXH458727:DXH458729 EHD458727:EHD458729 EQZ458727:EQZ458729 FAV458727:FAV458729 FKR458727:FKR458729 FUN458727:FUN458729 GEJ458727:GEJ458729 GOF458727:GOF458729 GYB458727:GYB458729 HHX458727:HHX458729 HRT458727:HRT458729 IBP458727:IBP458729 ILL458727:ILL458729 IVH458727:IVH458729 JFD458727:JFD458729 JOZ458727:JOZ458729 JYV458727:JYV458729 KIR458727:KIR458729 KSN458727:KSN458729 LCJ458727:LCJ458729 LMF458727:LMF458729 LWB458727:LWB458729 MFX458727:MFX458729 MPT458727:MPT458729 MZP458727:MZP458729 NJL458727:NJL458729 NTH458727:NTH458729 ODD458727:ODD458729 OMZ458727:OMZ458729 OWV458727:OWV458729 PGR458727:PGR458729 PQN458727:PQN458729 QAJ458727:QAJ458729 QKF458727:QKF458729 QUB458727:QUB458729 RDX458727:RDX458729 RNT458727:RNT458729 RXP458727:RXP458729 SHL458727:SHL458729 SRH458727:SRH458729 TBD458727:TBD458729 TKZ458727:TKZ458729 TUV458727:TUV458729 UER458727:UER458729 UON458727:UON458729 UYJ458727:UYJ458729 VIF458727:VIF458729 VSB458727:VSB458729 WBX458727:WBX458729 WLT458727:WLT458729 WVP458727:WVP458729 L524263:L524265 JD524263:JD524265 SZ524263:SZ524265 ACV524263:ACV524265 AMR524263:AMR524265 AWN524263:AWN524265 BGJ524263:BGJ524265 BQF524263:BQF524265 CAB524263:CAB524265 CJX524263:CJX524265 CTT524263:CTT524265 DDP524263:DDP524265 DNL524263:DNL524265 DXH524263:DXH524265 EHD524263:EHD524265 EQZ524263:EQZ524265 FAV524263:FAV524265 FKR524263:FKR524265 FUN524263:FUN524265 GEJ524263:GEJ524265 GOF524263:GOF524265 GYB524263:GYB524265 HHX524263:HHX524265 HRT524263:HRT524265 IBP524263:IBP524265 ILL524263:ILL524265 IVH524263:IVH524265 JFD524263:JFD524265 JOZ524263:JOZ524265 JYV524263:JYV524265 KIR524263:KIR524265 KSN524263:KSN524265 LCJ524263:LCJ524265 LMF524263:LMF524265 LWB524263:LWB524265 MFX524263:MFX524265 MPT524263:MPT524265 MZP524263:MZP524265 NJL524263:NJL524265 NTH524263:NTH524265 ODD524263:ODD524265 OMZ524263:OMZ524265 OWV524263:OWV524265 PGR524263:PGR524265 PQN524263:PQN524265 QAJ524263:QAJ524265 QKF524263:QKF524265 QUB524263:QUB524265 RDX524263:RDX524265 RNT524263:RNT524265 RXP524263:RXP524265 SHL524263:SHL524265 SRH524263:SRH524265 TBD524263:TBD524265 TKZ524263:TKZ524265 TUV524263:TUV524265 UER524263:UER524265 UON524263:UON524265 UYJ524263:UYJ524265 VIF524263:VIF524265 VSB524263:VSB524265 WBX524263:WBX524265 WLT524263:WLT524265 WVP524263:WVP524265 L589799:L589801 JD589799:JD589801 SZ589799:SZ589801 ACV589799:ACV589801 AMR589799:AMR589801 AWN589799:AWN589801 BGJ589799:BGJ589801 BQF589799:BQF589801 CAB589799:CAB589801 CJX589799:CJX589801 CTT589799:CTT589801 DDP589799:DDP589801 DNL589799:DNL589801 DXH589799:DXH589801 EHD589799:EHD589801 EQZ589799:EQZ589801 FAV589799:FAV589801 FKR589799:FKR589801 FUN589799:FUN589801 GEJ589799:GEJ589801 GOF589799:GOF589801 GYB589799:GYB589801 HHX589799:HHX589801 HRT589799:HRT589801 IBP589799:IBP589801 ILL589799:ILL589801 IVH589799:IVH589801 JFD589799:JFD589801 JOZ589799:JOZ589801 JYV589799:JYV589801 KIR589799:KIR589801 KSN589799:KSN589801 LCJ589799:LCJ589801 LMF589799:LMF589801 LWB589799:LWB589801 MFX589799:MFX589801 MPT589799:MPT589801 MZP589799:MZP589801 NJL589799:NJL589801 NTH589799:NTH589801 ODD589799:ODD589801 OMZ589799:OMZ589801 OWV589799:OWV589801 PGR589799:PGR589801 PQN589799:PQN589801 QAJ589799:QAJ589801 QKF589799:QKF589801 QUB589799:QUB589801 RDX589799:RDX589801 RNT589799:RNT589801 RXP589799:RXP589801 SHL589799:SHL589801 SRH589799:SRH589801 TBD589799:TBD589801 TKZ589799:TKZ589801 TUV589799:TUV589801 UER589799:UER589801 UON589799:UON589801 UYJ589799:UYJ589801 VIF589799:VIF589801 VSB589799:VSB589801 WBX589799:WBX589801 WLT589799:WLT589801 WVP589799:WVP589801 L655335:L655337 JD655335:JD655337 SZ655335:SZ655337 ACV655335:ACV655337 AMR655335:AMR655337 AWN655335:AWN655337 BGJ655335:BGJ655337 BQF655335:BQF655337 CAB655335:CAB655337 CJX655335:CJX655337 CTT655335:CTT655337 DDP655335:DDP655337 DNL655335:DNL655337 DXH655335:DXH655337 EHD655335:EHD655337 EQZ655335:EQZ655337 FAV655335:FAV655337 FKR655335:FKR655337 FUN655335:FUN655337 GEJ655335:GEJ655337 GOF655335:GOF655337 GYB655335:GYB655337 HHX655335:HHX655337 HRT655335:HRT655337 IBP655335:IBP655337 ILL655335:ILL655337 IVH655335:IVH655337 JFD655335:JFD655337 JOZ655335:JOZ655337 JYV655335:JYV655337 KIR655335:KIR655337 KSN655335:KSN655337 LCJ655335:LCJ655337 LMF655335:LMF655337 LWB655335:LWB655337 MFX655335:MFX655337 MPT655335:MPT655337 MZP655335:MZP655337 NJL655335:NJL655337 NTH655335:NTH655337 ODD655335:ODD655337 OMZ655335:OMZ655337 OWV655335:OWV655337 PGR655335:PGR655337 PQN655335:PQN655337 QAJ655335:QAJ655337 QKF655335:QKF655337 QUB655335:QUB655337 RDX655335:RDX655337 RNT655335:RNT655337 RXP655335:RXP655337 SHL655335:SHL655337 SRH655335:SRH655337 TBD655335:TBD655337 TKZ655335:TKZ655337 TUV655335:TUV655337 UER655335:UER655337 UON655335:UON655337 UYJ655335:UYJ655337 VIF655335:VIF655337 VSB655335:VSB655337 WBX655335:WBX655337 WLT655335:WLT655337 WVP655335:WVP655337 L720871:L720873 JD720871:JD720873 SZ720871:SZ720873 ACV720871:ACV720873 AMR720871:AMR720873 AWN720871:AWN720873 BGJ720871:BGJ720873 BQF720871:BQF720873 CAB720871:CAB720873 CJX720871:CJX720873 CTT720871:CTT720873 DDP720871:DDP720873 DNL720871:DNL720873 DXH720871:DXH720873 EHD720871:EHD720873 EQZ720871:EQZ720873 FAV720871:FAV720873 FKR720871:FKR720873 FUN720871:FUN720873 GEJ720871:GEJ720873 GOF720871:GOF720873 GYB720871:GYB720873 HHX720871:HHX720873 HRT720871:HRT720873 IBP720871:IBP720873 ILL720871:ILL720873 IVH720871:IVH720873 JFD720871:JFD720873 JOZ720871:JOZ720873 JYV720871:JYV720873 KIR720871:KIR720873 KSN720871:KSN720873 LCJ720871:LCJ720873 LMF720871:LMF720873 LWB720871:LWB720873 MFX720871:MFX720873 MPT720871:MPT720873 MZP720871:MZP720873 NJL720871:NJL720873 NTH720871:NTH720873 ODD720871:ODD720873 OMZ720871:OMZ720873 OWV720871:OWV720873 PGR720871:PGR720873 PQN720871:PQN720873 QAJ720871:QAJ720873 QKF720871:QKF720873 QUB720871:QUB720873 RDX720871:RDX720873 RNT720871:RNT720873 RXP720871:RXP720873 SHL720871:SHL720873 SRH720871:SRH720873 TBD720871:TBD720873 TKZ720871:TKZ720873 TUV720871:TUV720873 UER720871:UER720873 UON720871:UON720873 UYJ720871:UYJ720873 VIF720871:VIF720873 VSB720871:VSB720873 WBX720871:WBX720873 WLT720871:WLT720873 WVP720871:WVP720873 L786407:L786409 JD786407:JD786409 SZ786407:SZ786409 ACV786407:ACV786409 AMR786407:AMR786409 AWN786407:AWN786409 BGJ786407:BGJ786409 BQF786407:BQF786409 CAB786407:CAB786409 CJX786407:CJX786409 CTT786407:CTT786409 DDP786407:DDP786409 DNL786407:DNL786409 DXH786407:DXH786409 EHD786407:EHD786409 EQZ786407:EQZ786409 FAV786407:FAV786409 FKR786407:FKR786409 FUN786407:FUN786409 GEJ786407:GEJ786409 GOF786407:GOF786409 GYB786407:GYB786409 HHX786407:HHX786409 HRT786407:HRT786409 IBP786407:IBP786409 ILL786407:ILL786409 IVH786407:IVH786409 JFD786407:JFD786409 JOZ786407:JOZ786409 JYV786407:JYV786409 KIR786407:KIR786409 KSN786407:KSN786409 LCJ786407:LCJ786409 LMF786407:LMF786409 LWB786407:LWB786409 MFX786407:MFX786409 MPT786407:MPT786409 MZP786407:MZP786409 NJL786407:NJL786409 NTH786407:NTH786409 ODD786407:ODD786409 OMZ786407:OMZ786409 OWV786407:OWV786409 PGR786407:PGR786409 PQN786407:PQN786409 QAJ786407:QAJ786409 QKF786407:QKF786409 QUB786407:QUB786409 RDX786407:RDX786409 RNT786407:RNT786409 RXP786407:RXP786409 SHL786407:SHL786409 SRH786407:SRH786409 TBD786407:TBD786409 TKZ786407:TKZ786409 TUV786407:TUV786409 UER786407:UER786409 UON786407:UON786409 UYJ786407:UYJ786409 VIF786407:VIF786409 VSB786407:VSB786409 WBX786407:WBX786409 WLT786407:WLT786409 WVP786407:WVP786409 L851943:L851945 JD851943:JD851945 SZ851943:SZ851945 ACV851943:ACV851945 AMR851943:AMR851945 AWN851943:AWN851945 BGJ851943:BGJ851945 BQF851943:BQF851945 CAB851943:CAB851945 CJX851943:CJX851945 CTT851943:CTT851945 DDP851943:DDP851945 DNL851943:DNL851945 DXH851943:DXH851945 EHD851943:EHD851945 EQZ851943:EQZ851945 FAV851943:FAV851945 FKR851943:FKR851945 FUN851943:FUN851945 GEJ851943:GEJ851945 GOF851943:GOF851945 GYB851943:GYB851945 HHX851943:HHX851945 HRT851943:HRT851945 IBP851943:IBP851945 ILL851943:ILL851945 IVH851943:IVH851945 JFD851943:JFD851945 JOZ851943:JOZ851945 JYV851943:JYV851945 KIR851943:KIR851945 KSN851943:KSN851945 LCJ851943:LCJ851945 LMF851943:LMF851945 LWB851943:LWB851945 MFX851943:MFX851945 MPT851943:MPT851945 MZP851943:MZP851945 NJL851943:NJL851945 NTH851943:NTH851945 ODD851943:ODD851945 OMZ851943:OMZ851945 OWV851943:OWV851945 PGR851943:PGR851945 PQN851943:PQN851945 QAJ851943:QAJ851945 QKF851943:QKF851945 QUB851943:QUB851945 RDX851943:RDX851945 RNT851943:RNT851945 RXP851943:RXP851945 SHL851943:SHL851945 SRH851943:SRH851945 TBD851943:TBD851945 TKZ851943:TKZ851945 TUV851943:TUV851945 UER851943:UER851945 UON851943:UON851945 UYJ851943:UYJ851945 VIF851943:VIF851945 VSB851943:VSB851945 WBX851943:WBX851945 WLT851943:WLT851945 WVP851943:WVP851945 L917479:L917481 JD917479:JD917481 SZ917479:SZ917481 ACV917479:ACV917481 AMR917479:AMR917481 AWN917479:AWN917481 BGJ917479:BGJ917481 BQF917479:BQF917481 CAB917479:CAB917481 CJX917479:CJX917481 CTT917479:CTT917481 DDP917479:DDP917481 DNL917479:DNL917481 DXH917479:DXH917481 EHD917479:EHD917481 EQZ917479:EQZ917481 FAV917479:FAV917481 FKR917479:FKR917481 FUN917479:FUN917481 GEJ917479:GEJ917481 GOF917479:GOF917481 GYB917479:GYB917481 HHX917479:HHX917481 HRT917479:HRT917481 IBP917479:IBP917481 ILL917479:ILL917481 IVH917479:IVH917481 JFD917479:JFD917481 JOZ917479:JOZ917481 JYV917479:JYV917481 KIR917479:KIR917481 KSN917479:KSN917481 LCJ917479:LCJ917481 LMF917479:LMF917481 LWB917479:LWB917481 MFX917479:MFX917481 MPT917479:MPT917481 MZP917479:MZP917481 NJL917479:NJL917481 NTH917479:NTH917481 ODD917479:ODD917481 OMZ917479:OMZ917481 OWV917479:OWV917481 PGR917479:PGR917481 PQN917479:PQN917481 QAJ917479:QAJ917481 QKF917479:QKF917481 QUB917479:QUB917481 RDX917479:RDX917481 RNT917479:RNT917481 RXP917479:RXP917481 SHL917479:SHL917481 SRH917479:SRH917481 TBD917479:TBD917481 TKZ917479:TKZ917481 TUV917479:TUV917481 UER917479:UER917481 UON917479:UON917481 UYJ917479:UYJ917481 VIF917479:VIF917481 VSB917479:VSB917481 WBX917479:WBX917481 WLT917479:WLT917481 WVP917479:WVP917481 L983015:L983017 JD983015:JD983017 SZ983015:SZ983017 ACV983015:ACV983017 AMR983015:AMR983017 AWN983015:AWN983017 BGJ983015:BGJ983017 BQF983015:BQF983017 CAB983015:CAB983017 CJX983015:CJX983017 CTT983015:CTT983017 DDP983015:DDP983017 DNL983015:DNL983017 DXH983015:DXH983017 EHD983015:EHD983017 EQZ983015:EQZ983017 FAV983015:FAV983017 FKR983015:FKR983017 FUN983015:FUN983017 GEJ983015:GEJ983017 GOF983015:GOF983017 GYB983015:GYB983017 HHX983015:HHX983017 HRT983015:HRT983017 IBP983015:IBP983017 ILL983015:ILL983017 IVH983015:IVH983017 JFD983015:JFD983017 JOZ983015:JOZ983017 JYV983015:JYV983017 KIR983015:KIR983017 KSN983015:KSN983017 LCJ983015:LCJ983017 LMF983015:LMF983017 LWB983015:LWB983017 MFX983015:MFX983017 MPT983015:MPT983017 MZP983015:MZP983017 NJL983015:NJL983017 NTH983015:NTH983017 ODD983015:ODD983017 OMZ983015:OMZ983017 OWV983015:OWV983017 PGR983015:PGR983017 PQN983015:PQN983017 QAJ983015:QAJ983017 QKF983015:QKF983017 QUB983015:QUB983017 RDX983015:RDX983017 RNT983015:RNT983017 RXP983015:RXP983017 SHL983015:SHL983017 SRH983015:SRH983017 TBD983015:TBD983017 TKZ983015:TKZ983017 TUV983015:TUV983017 UER983015:UER983017 UON983015:UON983017 UYJ983015:UYJ983017 VIF983015:VIF983017 VSB983015:VSB983017 WBX983015:WBX983017 WLT983015:WLT983017 I4">
      <formula1>Type_Corde_Liste</formula1>
    </dataValidation>
    <dataValidation type="list" allowBlank="1" showInputMessage="1" showErrorMessage="1" sqref="C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E65511:E65513 IX65511:IX65513 ST65511:ST65513 ACP65511:ACP65513 AML65511:AML65513 AWH65511:AWH65513 BGD65511:BGD65513 BPZ65511:BPZ65513 BZV65511:BZV65513 CJR65511:CJR65513 CTN65511:CTN65513 DDJ65511:DDJ65513 DNF65511:DNF65513 DXB65511:DXB65513 EGX65511:EGX65513 EQT65511:EQT65513 FAP65511:FAP65513 FKL65511:FKL65513 FUH65511:FUH65513 GED65511:GED65513 GNZ65511:GNZ65513 GXV65511:GXV65513 HHR65511:HHR65513 HRN65511:HRN65513 IBJ65511:IBJ65513 ILF65511:ILF65513 IVB65511:IVB65513 JEX65511:JEX65513 JOT65511:JOT65513 JYP65511:JYP65513 KIL65511:KIL65513 KSH65511:KSH65513 LCD65511:LCD65513 LLZ65511:LLZ65513 LVV65511:LVV65513 MFR65511:MFR65513 MPN65511:MPN65513 MZJ65511:MZJ65513 NJF65511:NJF65513 NTB65511:NTB65513 OCX65511:OCX65513 OMT65511:OMT65513 OWP65511:OWP65513 PGL65511:PGL65513 PQH65511:PQH65513 QAD65511:QAD65513 QJZ65511:QJZ65513 QTV65511:QTV65513 RDR65511:RDR65513 RNN65511:RNN65513 RXJ65511:RXJ65513 SHF65511:SHF65513 SRB65511:SRB65513 TAX65511:TAX65513 TKT65511:TKT65513 TUP65511:TUP65513 UEL65511:UEL65513 UOH65511:UOH65513 UYD65511:UYD65513 VHZ65511:VHZ65513 VRV65511:VRV65513 WBR65511:WBR65513 WLN65511:WLN65513 WVJ65511:WVJ65513 E131047:E131049 IX131047:IX131049 ST131047:ST131049 ACP131047:ACP131049 AML131047:AML131049 AWH131047:AWH131049 BGD131047:BGD131049 BPZ131047:BPZ131049 BZV131047:BZV131049 CJR131047:CJR131049 CTN131047:CTN131049 DDJ131047:DDJ131049 DNF131047:DNF131049 DXB131047:DXB131049 EGX131047:EGX131049 EQT131047:EQT131049 FAP131047:FAP131049 FKL131047:FKL131049 FUH131047:FUH131049 GED131047:GED131049 GNZ131047:GNZ131049 GXV131047:GXV131049 HHR131047:HHR131049 HRN131047:HRN131049 IBJ131047:IBJ131049 ILF131047:ILF131049 IVB131047:IVB131049 JEX131047:JEX131049 JOT131047:JOT131049 JYP131047:JYP131049 KIL131047:KIL131049 KSH131047:KSH131049 LCD131047:LCD131049 LLZ131047:LLZ131049 LVV131047:LVV131049 MFR131047:MFR131049 MPN131047:MPN131049 MZJ131047:MZJ131049 NJF131047:NJF131049 NTB131047:NTB131049 OCX131047:OCX131049 OMT131047:OMT131049 OWP131047:OWP131049 PGL131047:PGL131049 PQH131047:PQH131049 QAD131047:QAD131049 QJZ131047:QJZ131049 QTV131047:QTV131049 RDR131047:RDR131049 RNN131047:RNN131049 RXJ131047:RXJ131049 SHF131047:SHF131049 SRB131047:SRB131049 TAX131047:TAX131049 TKT131047:TKT131049 TUP131047:TUP131049 UEL131047:UEL131049 UOH131047:UOH131049 UYD131047:UYD131049 VHZ131047:VHZ131049 VRV131047:VRV131049 WBR131047:WBR131049 WLN131047:WLN131049 WVJ131047:WVJ131049 E196583:E196585 IX196583:IX196585 ST196583:ST196585 ACP196583:ACP196585 AML196583:AML196585 AWH196583:AWH196585 BGD196583:BGD196585 BPZ196583:BPZ196585 BZV196583:BZV196585 CJR196583:CJR196585 CTN196583:CTN196585 DDJ196583:DDJ196585 DNF196583:DNF196585 DXB196583:DXB196585 EGX196583:EGX196585 EQT196583:EQT196585 FAP196583:FAP196585 FKL196583:FKL196585 FUH196583:FUH196585 GED196583:GED196585 GNZ196583:GNZ196585 GXV196583:GXV196585 HHR196583:HHR196585 HRN196583:HRN196585 IBJ196583:IBJ196585 ILF196583:ILF196585 IVB196583:IVB196585 JEX196583:JEX196585 JOT196583:JOT196585 JYP196583:JYP196585 KIL196583:KIL196585 KSH196583:KSH196585 LCD196583:LCD196585 LLZ196583:LLZ196585 LVV196583:LVV196585 MFR196583:MFR196585 MPN196583:MPN196585 MZJ196583:MZJ196585 NJF196583:NJF196585 NTB196583:NTB196585 OCX196583:OCX196585 OMT196583:OMT196585 OWP196583:OWP196585 PGL196583:PGL196585 PQH196583:PQH196585 QAD196583:QAD196585 QJZ196583:QJZ196585 QTV196583:QTV196585 RDR196583:RDR196585 RNN196583:RNN196585 RXJ196583:RXJ196585 SHF196583:SHF196585 SRB196583:SRB196585 TAX196583:TAX196585 TKT196583:TKT196585 TUP196583:TUP196585 UEL196583:UEL196585 UOH196583:UOH196585 UYD196583:UYD196585 VHZ196583:VHZ196585 VRV196583:VRV196585 WBR196583:WBR196585 WLN196583:WLN196585 WVJ196583:WVJ196585 E262119:E262121 IX262119:IX262121 ST262119:ST262121 ACP262119:ACP262121 AML262119:AML262121 AWH262119:AWH262121 BGD262119:BGD262121 BPZ262119:BPZ262121 BZV262119:BZV262121 CJR262119:CJR262121 CTN262119:CTN262121 DDJ262119:DDJ262121 DNF262119:DNF262121 DXB262119:DXB262121 EGX262119:EGX262121 EQT262119:EQT262121 FAP262119:FAP262121 FKL262119:FKL262121 FUH262119:FUH262121 GED262119:GED262121 GNZ262119:GNZ262121 GXV262119:GXV262121 HHR262119:HHR262121 HRN262119:HRN262121 IBJ262119:IBJ262121 ILF262119:ILF262121 IVB262119:IVB262121 JEX262119:JEX262121 JOT262119:JOT262121 JYP262119:JYP262121 KIL262119:KIL262121 KSH262119:KSH262121 LCD262119:LCD262121 LLZ262119:LLZ262121 LVV262119:LVV262121 MFR262119:MFR262121 MPN262119:MPN262121 MZJ262119:MZJ262121 NJF262119:NJF262121 NTB262119:NTB262121 OCX262119:OCX262121 OMT262119:OMT262121 OWP262119:OWP262121 PGL262119:PGL262121 PQH262119:PQH262121 QAD262119:QAD262121 QJZ262119:QJZ262121 QTV262119:QTV262121 RDR262119:RDR262121 RNN262119:RNN262121 RXJ262119:RXJ262121 SHF262119:SHF262121 SRB262119:SRB262121 TAX262119:TAX262121 TKT262119:TKT262121 TUP262119:TUP262121 UEL262119:UEL262121 UOH262119:UOH262121 UYD262119:UYD262121 VHZ262119:VHZ262121 VRV262119:VRV262121 WBR262119:WBR262121 WLN262119:WLN262121 WVJ262119:WVJ262121 E327655:E327657 IX327655:IX327657 ST327655:ST327657 ACP327655:ACP327657 AML327655:AML327657 AWH327655:AWH327657 BGD327655:BGD327657 BPZ327655:BPZ327657 BZV327655:BZV327657 CJR327655:CJR327657 CTN327655:CTN327657 DDJ327655:DDJ327657 DNF327655:DNF327657 DXB327655:DXB327657 EGX327655:EGX327657 EQT327655:EQT327657 FAP327655:FAP327657 FKL327655:FKL327657 FUH327655:FUH327657 GED327655:GED327657 GNZ327655:GNZ327657 GXV327655:GXV327657 HHR327655:HHR327657 HRN327655:HRN327657 IBJ327655:IBJ327657 ILF327655:ILF327657 IVB327655:IVB327657 JEX327655:JEX327657 JOT327655:JOT327657 JYP327655:JYP327657 KIL327655:KIL327657 KSH327655:KSH327657 LCD327655:LCD327657 LLZ327655:LLZ327657 LVV327655:LVV327657 MFR327655:MFR327657 MPN327655:MPN327657 MZJ327655:MZJ327657 NJF327655:NJF327657 NTB327655:NTB327657 OCX327655:OCX327657 OMT327655:OMT327657 OWP327655:OWP327657 PGL327655:PGL327657 PQH327655:PQH327657 QAD327655:QAD327657 QJZ327655:QJZ327657 QTV327655:QTV327657 RDR327655:RDR327657 RNN327655:RNN327657 RXJ327655:RXJ327657 SHF327655:SHF327657 SRB327655:SRB327657 TAX327655:TAX327657 TKT327655:TKT327657 TUP327655:TUP327657 UEL327655:UEL327657 UOH327655:UOH327657 UYD327655:UYD327657 VHZ327655:VHZ327657 VRV327655:VRV327657 WBR327655:WBR327657 WLN327655:WLN327657 WVJ327655:WVJ327657 E393191:E393193 IX393191:IX393193 ST393191:ST393193 ACP393191:ACP393193 AML393191:AML393193 AWH393191:AWH393193 BGD393191:BGD393193 BPZ393191:BPZ393193 BZV393191:BZV393193 CJR393191:CJR393193 CTN393191:CTN393193 DDJ393191:DDJ393193 DNF393191:DNF393193 DXB393191:DXB393193 EGX393191:EGX393193 EQT393191:EQT393193 FAP393191:FAP393193 FKL393191:FKL393193 FUH393191:FUH393193 GED393191:GED393193 GNZ393191:GNZ393193 GXV393191:GXV393193 HHR393191:HHR393193 HRN393191:HRN393193 IBJ393191:IBJ393193 ILF393191:ILF393193 IVB393191:IVB393193 JEX393191:JEX393193 JOT393191:JOT393193 JYP393191:JYP393193 KIL393191:KIL393193 KSH393191:KSH393193 LCD393191:LCD393193 LLZ393191:LLZ393193 LVV393191:LVV393193 MFR393191:MFR393193 MPN393191:MPN393193 MZJ393191:MZJ393193 NJF393191:NJF393193 NTB393191:NTB393193 OCX393191:OCX393193 OMT393191:OMT393193 OWP393191:OWP393193 PGL393191:PGL393193 PQH393191:PQH393193 QAD393191:QAD393193 QJZ393191:QJZ393193 QTV393191:QTV393193 RDR393191:RDR393193 RNN393191:RNN393193 RXJ393191:RXJ393193 SHF393191:SHF393193 SRB393191:SRB393193 TAX393191:TAX393193 TKT393191:TKT393193 TUP393191:TUP393193 UEL393191:UEL393193 UOH393191:UOH393193 UYD393191:UYD393193 VHZ393191:VHZ393193 VRV393191:VRV393193 WBR393191:WBR393193 WLN393191:WLN393193 WVJ393191:WVJ393193 E458727:E458729 IX458727:IX458729 ST458727:ST458729 ACP458727:ACP458729 AML458727:AML458729 AWH458727:AWH458729 BGD458727:BGD458729 BPZ458727:BPZ458729 BZV458727:BZV458729 CJR458727:CJR458729 CTN458727:CTN458729 DDJ458727:DDJ458729 DNF458727:DNF458729 DXB458727:DXB458729 EGX458727:EGX458729 EQT458727:EQT458729 FAP458727:FAP458729 FKL458727:FKL458729 FUH458727:FUH458729 GED458727:GED458729 GNZ458727:GNZ458729 GXV458727:GXV458729 HHR458727:HHR458729 HRN458727:HRN458729 IBJ458727:IBJ458729 ILF458727:ILF458729 IVB458727:IVB458729 JEX458727:JEX458729 JOT458727:JOT458729 JYP458727:JYP458729 KIL458727:KIL458729 KSH458727:KSH458729 LCD458727:LCD458729 LLZ458727:LLZ458729 LVV458727:LVV458729 MFR458727:MFR458729 MPN458727:MPN458729 MZJ458727:MZJ458729 NJF458727:NJF458729 NTB458727:NTB458729 OCX458727:OCX458729 OMT458727:OMT458729 OWP458727:OWP458729 PGL458727:PGL458729 PQH458727:PQH458729 QAD458727:QAD458729 QJZ458727:QJZ458729 QTV458727:QTV458729 RDR458727:RDR458729 RNN458727:RNN458729 RXJ458727:RXJ458729 SHF458727:SHF458729 SRB458727:SRB458729 TAX458727:TAX458729 TKT458727:TKT458729 TUP458727:TUP458729 UEL458727:UEL458729 UOH458727:UOH458729 UYD458727:UYD458729 VHZ458727:VHZ458729 VRV458727:VRV458729 WBR458727:WBR458729 WLN458727:WLN458729 WVJ458727:WVJ458729 E524263:E524265 IX524263:IX524265 ST524263:ST524265 ACP524263:ACP524265 AML524263:AML524265 AWH524263:AWH524265 BGD524263:BGD524265 BPZ524263:BPZ524265 BZV524263:BZV524265 CJR524263:CJR524265 CTN524263:CTN524265 DDJ524263:DDJ524265 DNF524263:DNF524265 DXB524263:DXB524265 EGX524263:EGX524265 EQT524263:EQT524265 FAP524263:FAP524265 FKL524263:FKL524265 FUH524263:FUH524265 GED524263:GED524265 GNZ524263:GNZ524265 GXV524263:GXV524265 HHR524263:HHR524265 HRN524263:HRN524265 IBJ524263:IBJ524265 ILF524263:ILF524265 IVB524263:IVB524265 JEX524263:JEX524265 JOT524263:JOT524265 JYP524263:JYP524265 KIL524263:KIL524265 KSH524263:KSH524265 LCD524263:LCD524265 LLZ524263:LLZ524265 LVV524263:LVV524265 MFR524263:MFR524265 MPN524263:MPN524265 MZJ524263:MZJ524265 NJF524263:NJF524265 NTB524263:NTB524265 OCX524263:OCX524265 OMT524263:OMT524265 OWP524263:OWP524265 PGL524263:PGL524265 PQH524263:PQH524265 QAD524263:QAD524265 QJZ524263:QJZ524265 QTV524263:QTV524265 RDR524263:RDR524265 RNN524263:RNN524265 RXJ524263:RXJ524265 SHF524263:SHF524265 SRB524263:SRB524265 TAX524263:TAX524265 TKT524263:TKT524265 TUP524263:TUP524265 UEL524263:UEL524265 UOH524263:UOH524265 UYD524263:UYD524265 VHZ524263:VHZ524265 VRV524263:VRV524265 WBR524263:WBR524265 WLN524263:WLN524265 WVJ524263:WVJ524265 E589799:E589801 IX589799:IX589801 ST589799:ST589801 ACP589799:ACP589801 AML589799:AML589801 AWH589799:AWH589801 BGD589799:BGD589801 BPZ589799:BPZ589801 BZV589799:BZV589801 CJR589799:CJR589801 CTN589799:CTN589801 DDJ589799:DDJ589801 DNF589799:DNF589801 DXB589799:DXB589801 EGX589799:EGX589801 EQT589799:EQT589801 FAP589799:FAP589801 FKL589799:FKL589801 FUH589799:FUH589801 GED589799:GED589801 GNZ589799:GNZ589801 GXV589799:GXV589801 HHR589799:HHR589801 HRN589799:HRN589801 IBJ589799:IBJ589801 ILF589799:ILF589801 IVB589799:IVB589801 JEX589799:JEX589801 JOT589799:JOT589801 JYP589799:JYP589801 KIL589799:KIL589801 KSH589799:KSH589801 LCD589799:LCD589801 LLZ589799:LLZ589801 LVV589799:LVV589801 MFR589799:MFR589801 MPN589799:MPN589801 MZJ589799:MZJ589801 NJF589799:NJF589801 NTB589799:NTB589801 OCX589799:OCX589801 OMT589799:OMT589801 OWP589799:OWP589801 PGL589799:PGL589801 PQH589799:PQH589801 QAD589799:QAD589801 QJZ589799:QJZ589801 QTV589799:QTV589801 RDR589799:RDR589801 RNN589799:RNN589801 RXJ589799:RXJ589801 SHF589799:SHF589801 SRB589799:SRB589801 TAX589799:TAX589801 TKT589799:TKT589801 TUP589799:TUP589801 UEL589799:UEL589801 UOH589799:UOH589801 UYD589799:UYD589801 VHZ589799:VHZ589801 VRV589799:VRV589801 WBR589799:WBR589801 WLN589799:WLN589801 WVJ589799:WVJ589801 E655335:E655337 IX655335:IX655337 ST655335:ST655337 ACP655335:ACP655337 AML655335:AML655337 AWH655335:AWH655337 BGD655335:BGD655337 BPZ655335:BPZ655337 BZV655335:BZV655337 CJR655335:CJR655337 CTN655335:CTN655337 DDJ655335:DDJ655337 DNF655335:DNF655337 DXB655335:DXB655337 EGX655335:EGX655337 EQT655335:EQT655337 FAP655335:FAP655337 FKL655335:FKL655337 FUH655335:FUH655337 GED655335:GED655337 GNZ655335:GNZ655337 GXV655335:GXV655337 HHR655335:HHR655337 HRN655335:HRN655337 IBJ655335:IBJ655337 ILF655335:ILF655337 IVB655335:IVB655337 JEX655335:JEX655337 JOT655335:JOT655337 JYP655335:JYP655337 KIL655335:KIL655337 KSH655335:KSH655337 LCD655335:LCD655337 LLZ655335:LLZ655337 LVV655335:LVV655337 MFR655335:MFR655337 MPN655335:MPN655337 MZJ655335:MZJ655337 NJF655335:NJF655337 NTB655335:NTB655337 OCX655335:OCX655337 OMT655335:OMT655337 OWP655335:OWP655337 PGL655335:PGL655337 PQH655335:PQH655337 QAD655335:QAD655337 QJZ655335:QJZ655337 QTV655335:QTV655337 RDR655335:RDR655337 RNN655335:RNN655337 RXJ655335:RXJ655337 SHF655335:SHF655337 SRB655335:SRB655337 TAX655335:TAX655337 TKT655335:TKT655337 TUP655335:TUP655337 UEL655335:UEL655337 UOH655335:UOH655337 UYD655335:UYD655337 VHZ655335:VHZ655337 VRV655335:VRV655337 WBR655335:WBR655337 WLN655335:WLN655337 WVJ655335:WVJ655337 E720871:E720873 IX720871:IX720873 ST720871:ST720873 ACP720871:ACP720873 AML720871:AML720873 AWH720871:AWH720873 BGD720871:BGD720873 BPZ720871:BPZ720873 BZV720871:BZV720873 CJR720871:CJR720873 CTN720871:CTN720873 DDJ720871:DDJ720873 DNF720871:DNF720873 DXB720871:DXB720873 EGX720871:EGX720873 EQT720871:EQT720873 FAP720871:FAP720873 FKL720871:FKL720873 FUH720871:FUH720873 GED720871:GED720873 GNZ720871:GNZ720873 GXV720871:GXV720873 HHR720871:HHR720873 HRN720871:HRN720873 IBJ720871:IBJ720873 ILF720871:ILF720873 IVB720871:IVB720873 JEX720871:JEX720873 JOT720871:JOT720873 JYP720871:JYP720873 KIL720871:KIL720873 KSH720871:KSH720873 LCD720871:LCD720873 LLZ720871:LLZ720873 LVV720871:LVV720873 MFR720871:MFR720873 MPN720871:MPN720873 MZJ720871:MZJ720873 NJF720871:NJF720873 NTB720871:NTB720873 OCX720871:OCX720873 OMT720871:OMT720873 OWP720871:OWP720873 PGL720871:PGL720873 PQH720871:PQH720873 QAD720871:QAD720873 QJZ720871:QJZ720873 QTV720871:QTV720873 RDR720871:RDR720873 RNN720871:RNN720873 RXJ720871:RXJ720873 SHF720871:SHF720873 SRB720871:SRB720873 TAX720871:TAX720873 TKT720871:TKT720873 TUP720871:TUP720873 UEL720871:UEL720873 UOH720871:UOH720873 UYD720871:UYD720873 VHZ720871:VHZ720873 VRV720871:VRV720873 WBR720871:WBR720873 WLN720871:WLN720873 WVJ720871:WVJ720873 E786407:E786409 IX786407:IX786409 ST786407:ST786409 ACP786407:ACP786409 AML786407:AML786409 AWH786407:AWH786409 BGD786407:BGD786409 BPZ786407:BPZ786409 BZV786407:BZV786409 CJR786407:CJR786409 CTN786407:CTN786409 DDJ786407:DDJ786409 DNF786407:DNF786409 DXB786407:DXB786409 EGX786407:EGX786409 EQT786407:EQT786409 FAP786407:FAP786409 FKL786407:FKL786409 FUH786407:FUH786409 GED786407:GED786409 GNZ786407:GNZ786409 GXV786407:GXV786409 HHR786407:HHR786409 HRN786407:HRN786409 IBJ786407:IBJ786409 ILF786407:ILF786409 IVB786407:IVB786409 JEX786407:JEX786409 JOT786407:JOT786409 JYP786407:JYP786409 KIL786407:KIL786409 KSH786407:KSH786409 LCD786407:LCD786409 LLZ786407:LLZ786409 LVV786407:LVV786409 MFR786407:MFR786409 MPN786407:MPN786409 MZJ786407:MZJ786409 NJF786407:NJF786409 NTB786407:NTB786409 OCX786407:OCX786409 OMT786407:OMT786409 OWP786407:OWP786409 PGL786407:PGL786409 PQH786407:PQH786409 QAD786407:QAD786409 QJZ786407:QJZ786409 QTV786407:QTV786409 RDR786407:RDR786409 RNN786407:RNN786409 RXJ786407:RXJ786409 SHF786407:SHF786409 SRB786407:SRB786409 TAX786407:TAX786409 TKT786407:TKT786409 TUP786407:TUP786409 UEL786407:UEL786409 UOH786407:UOH786409 UYD786407:UYD786409 VHZ786407:VHZ786409 VRV786407:VRV786409 WBR786407:WBR786409 WLN786407:WLN786409 WVJ786407:WVJ786409 E851943:E851945 IX851943:IX851945 ST851943:ST851945 ACP851943:ACP851945 AML851943:AML851945 AWH851943:AWH851945 BGD851943:BGD851945 BPZ851943:BPZ851945 BZV851943:BZV851945 CJR851943:CJR851945 CTN851943:CTN851945 DDJ851943:DDJ851945 DNF851943:DNF851945 DXB851943:DXB851945 EGX851943:EGX851945 EQT851943:EQT851945 FAP851943:FAP851945 FKL851943:FKL851945 FUH851943:FUH851945 GED851943:GED851945 GNZ851943:GNZ851945 GXV851943:GXV851945 HHR851943:HHR851945 HRN851943:HRN851945 IBJ851943:IBJ851945 ILF851943:ILF851945 IVB851943:IVB851945 JEX851943:JEX851945 JOT851943:JOT851945 JYP851943:JYP851945 KIL851943:KIL851945 KSH851943:KSH851945 LCD851943:LCD851945 LLZ851943:LLZ851945 LVV851943:LVV851945 MFR851943:MFR851945 MPN851943:MPN851945 MZJ851943:MZJ851945 NJF851943:NJF851945 NTB851943:NTB851945 OCX851943:OCX851945 OMT851943:OMT851945 OWP851943:OWP851945 PGL851943:PGL851945 PQH851943:PQH851945 QAD851943:QAD851945 QJZ851943:QJZ851945 QTV851943:QTV851945 RDR851943:RDR851945 RNN851943:RNN851945 RXJ851943:RXJ851945 SHF851943:SHF851945 SRB851943:SRB851945 TAX851943:TAX851945 TKT851943:TKT851945 TUP851943:TUP851945 UEL851943:UEL851945 UOH851943:UOH851945 UYD851943:UYD851945 VHZ851943:VHZ851945 VRV851943:VRV851945 WBR851943:WBR851945 WLN851943:WLN851945 WVJ851943:WVJ851945 E917479:E917481 IX917479:IX917481 ST917479:ST917481 ACP917479:ACP917481 AML917479:AML917481 AWH917479:AWH917481 BGD917479:BGD917481 BPZ917479:BPZ917481 BZV917479:BZV917481 CJR917479:CJR917481 CTN917479:CTN917481 DDJ917479:DDJ917481 DNF917479:DNF917481 DXB917479:DXB917481 EGX917479:EGX917481 EQT917479:EQT917481 FAP917479:FAP917481 FKL917479:FKL917481 FUH917479:FUH917481 GED917479:GED917481 GNZ917479:GNZ917481 GXV917479:GXV917481 HHR917479:HHR917481 HRN917479:HRN917481 IBJ917479:IBJ917481 ILF917479:ILF917481 IVB917479:IVB917481 JEX917479:JEX917481 JOT917479:JOT917481 JYP917479:JYP917481 KIL917479:KIL917481 KSH917479:KSH917481 LCD917479:LCD917481 LLZ917479:LLZ917481 LVV917479:LVV917481 MFR917479:MFR917481 MPN917479:MPN917481 MZJ917479:MZJ917481 NJF917479:NJF917481 NTB917479:NTB917481 OCX917479:OCX917481 OMT917479:OMT917481 OWP917479:OWP917481 PGL917479:PGL917481 PQH917479:PQH917481 QAD917479:QAD917481 QJZ917479:QJZ917481 QTV917479:QTV917481 RDR917479:RDR917481 RNN917479:RNN917481 RXJ917479:RXJ917481 SHF917479:SHF917481 SRB917479:SRB917481 TAX917479:TAX917481 TKT917479:TKT917481 TUP917479:TUP917481 UEL917479:UEL917481 UOH917479:UOH917481 UYD917479:UYD917481 VHZ917479:VHZ917481 VRV917479:VRV917481 WBR917479:WBR917481 WLN917479:WLN917481 WVJ917479:WVJ917481 E983015:E983017 IX983015:IX983017 ST983015:ST983017 ACP983015:ACP983017 AML983015:AML983017 AWH983015:AWH983017 BGD983015:BGD983017 BPZ983015:BPZ983017 BZV983015:BZV983017 CJR983015:CJR983017 CTN983015:CTN983017 DDJ983015:DDJ983017 DNF983015:DNF983017 DXB983015:DXB983017 EGX983015:EGX983017 EQT983015:EQT983017 FAP983015:FAP983017 FKL983015:FKL983017 FUH983015:FUH983017 GED983015:GED983017 GNZ983015:GNZ983017 GXV983015:GXV983017 HHR983015:HHR983017 HRN983015:HRN983017 IBJ983015:IBJ983017 ILF983015:ILF983017 IVB983015:IVB983017 JEX983015:JEX983017 JOT983015:JOT983017 JYP983015:JYP983017 KIL983015:KIL983017 KSH983015:KSH983017 LCD983015:LCD983017 LLZ983015:LLZ983017 LVV983015:LVV983017 MFR983015:MFR983017 MPN983015:MPN983017 MZJ983015:MZJ983017 NJF983015:NJF983017 NTB983015:NTB983017 OCX983015:OCX983017 OMT983015:OMT983017 OWP983015:OWP983017 PGL983015:PGL983017 PQH983015:PQH983017 QAD983015:QAD983017 QJZ983015:QJZ983017 QTV983015:QTV983017 RDR983015:RDR983017 RNN983015:RNN983017 RXJ983015:RXJ983017 SHF983015:SHF983017 SRB983015:SRB983017 TAX983015:TAX983017 TKT983015:TKT983017 TUP983015:TUP983017 UEL983015:UEL983017 UOH983015:UOH983017 UYD983015:UYD983017 VHZ983015:VHZ983017 VRV983015:VRV983017 WBR983015:WBR983017 WLN983015:WLN983017 WVJ983015:WVJ983017">
      <formula1>Type_Arc_Liste</formula1>
    </dataValidation>
    <dataValidation type="list" allowBlank="1" showInputMessage="1" showErrorMessage="1" sqref="C8:C17">
      <formula1>INDIRECT(B8)</formula1>
    </dataValidation>
    <dataValidation type="list" allowBlank="1" showInputMessage="1" showErrorMessage="1" sqref="E19">
      <formula1>Flèches_Autre</formula1>
    </dataValidation>
    <dataValidation type="list" allowBlank="1" showInputMessage="1" showErrorMessage="1" sqref="B8:B17">
      <formula1>Marque_DSC</formula1>
    </dataValidation>
  </dataValidations>
  <pageMargins left="0.70866141732283472" right="0.70866141732283472" top="0.74803149606299213" bottom="0.74803149606299213" header="0.31496062992125984" footer="0.31496062992125984"/>
  <pageSetup paperSize="9" scale="68" orientation="landscape" horizontalDpi="4294967293" verticalDpi="0" r:id="rId1"/>
  <headerFooter>
    <oddHeader>&amp;C&amp;"-,Gras"&amp;14Dynamic Spine Calculator</oddHeader>
    <oddFooter>&amp;LLes Archers du Phénix&amp;R2015</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T464"/>
  <sheetViews>
    <sheetView showGridLines="0" workbookViewId="0">
      <selection activeCell="B12" sqref="B12"/>
    </sheetView>
  </sheetViews>
  <sheetFormatPr baseColWidth="10" defaultRowHeight="12.75" x14ac:dyDescent="0.25"/>
  <cols>
    <col min="1" max="1" width="2.28515625" style="182" customWidth="1"/>
    <col min="2" max="2" width="18.28515625" style="182" customWidth="1"/>
    <col min="3" max="3" width="16.7109375" style="182" customWidth="1"/>
    <col min="4" max="4" width="36.5703125" style="182" customWidth="1"/>
    <col min="5" max="5" width="12.140625" style="182" customWidth="1"/>
    <col min="6" max="6" width="14.140625" style="182" bestFit="1" customWidth="1"/>
    <col min="7" max="7" width="25.42578125" style="182" bestFit="1" customWidth="1"/>
    <col min="8" max="8" width="25.42578125" style="182" customWidth="1"/>
    <col min="9" max="9" width="6.85546875" style="182" bestFit="1" customWidth="1"/>
    <col min="10" max="10" width="20.5703125" style="182" bestFit="1" customWidth="1"/>
    <col min="11" max="11" width="20.5703125" style="182" customWidth="1"/>
    <col min="12" max="12" width="27.7109375" style="182" bestFit="1" customWidth="1"/>
    <col min="13" max="14" width="11.42578125" style="182"/>
    <col min="15" max="15" width="11.42578125" style="183"/>
    <col min="16" max="16" width="11.42578125" style="182"/>
    <col min="17" max="17" width="25.42578125" style="182" customWidth="1"/>
    <col min="18" max="19" width="11.42578125" style="182"/>
    <col min="20" max="20" width="11.42578125" style="183"/>
    <col min="21" max="16384" width="11.42578125" style="182"/>
  </cols>
  <sheetData>
    <row r="1" spans="1:20" customFormat="1" ht="6" customHeight="1" x14ac:dyDescent="0.25"/>
    <row r="2" spans="1:20" s="11" customFormat="1" x14ac:dyDescent="0.2"/>
    <row r="3" spans="1:20" s="11" customFormat="1" ht="23.25" x14ac:dyDescent="0.35">
      <c r="C3" s="342" t="s">
        <v>855</v>
      </c>
      <c r="D3" s="342"/>
    </row>
    <row r="4" spans="1:20" s="11" customFormat="1" ht="12.75" customHeight="1" thickBot="1" x14ac:dyDescent="0.4">
      <c r="E4" s="46"/>
      <c r="F4" s="46"/>
      <c r="G4" s="46"/>
      <c r="H4" s="46"/>
      <c r="I4" s="46"/>
      <c r="Q4" s="46"/>
    </row>
    <row r="5" spans="1:20" s="11" customFormat="1" ht="30" x14ac:dyDescent="0.25">
      <c r="C5" s="291" t="s">
        <v>756</v>
      </c>
      <c r="D5" s="292" t="s">
        <v>757</v>
      </c>
      <c r="E5" s="292" t="s">
        <v>853</v>
      </c>
      <c r="F5" s="3"/>
      <c r="G5" s="3"/>
    </row>
    <row r="6" spans="1:20" s="11" customFormat="1" ht="15" x14ac:dyDescent="0.25">
      <c r="C6" s="293" t="s">
        <v>124</v>
      </c>
      <c r="D6" s="294"/>
      <c r="E6" s="295">
        <f ca="1">IF(C6="","",COUNTA(INDIRECT(C6)))</f>
        <v>1</v>
      </c>
      <c r="F6" s="3"/>
      <c r="G6" s="3"/>
    </row>
    <row r="7" spans="1:20" ht="15" x14ac:dyDescent="0.25">
      <c r="C7" s="296" t="s">
        <v>695</v>
      </c>
      <c r="D7" s="192" t="s">
        <v>713</v>
      </c>
      <c r="E7" s="290">
        <f t="shared" ref="E7:E20" ca="1" si="0">IF(C7="","",COUNTA(INDIRECT(C7)))</f>
        <v>29</v>
      </c>
      <c r="F7" s="313"/>
      <c r="G7" s="3"/>
    </row>
    <row r="8" spans="1:20" s="186" customFormat="1" ht="20.100000000000001" customHeight="1" x14ac:dyDescent="0.25">
      <c r="C8" s="296" t="s">
        <v>378</v>
      </c>
      <c r="D8" s="192" t="s">
        <v>377</v>
      </c>
      <c r="E8" s="290">
        <f t="shared" ca="1" si="0"/>
        <v>45</v>
      </c>
      <c r="F8" s="314"/>
      <c r="G8" s="3"/>
      <c r="O8" s="190"/>
      <c r="T8" s="190"/>
    </row>
    <row r="9" spans="1:20" s="186" customFormat="1" ht="20.100000000000001" customHeight="1" x14ac:dyDescent="0.25">
      <c r="A9" s="191"/>
      <c r="C9" s="296" t="s">
        <v>488</v>
      </c>
      <c r="D9" s="192" t="s">
        <v>762</v>
      </c>
      <c r="E9" s="290">
        <f t="shared" ca="1" si="0"/>
        <v>30</v>
      </c>
      <c r="F9" s="314"/>
      <c r="G9" s="3"/>
      <c r="O9" s="190"/>
      <c r="T9" s="190"/>
    </row>
    <row r="10" spans="1:20" s="186" customFormat="1" ht="20.100000000000001" customHeight="1" x14ac:dyDescent="0.25">
      <c r="A10" s="191"/>
      <c r="C10" s="296" t="s">
        <v>597</v>
      </c>
      <c r="D10" s="192" t="s">
        <v>657</v>
      </c>
      <c r="E10" s="290">
        <f t="shared" ca="1" si="0"/>
        <v>50</v>
      </c>
      <c r="F10" s="314"/>
      <c r="G10" s="3"/>
      <c r="H10" s="185"/>
      <c r="I10" s="185"/>
      <c r="J10" s="185"/>
      <c r="K10" s="185"/>
      <c r="L10" s="185"/>
      <c r="O10" s="190"/>
      <c r="Q10" s="185"/>
      <c r="T10" s="190"/>
    </row>
    <row r="11" spans="1:20" s="186" customFormat="1" ht="20.100000000000001" customHeight="1" x14ac:dyDescent="0.25">
      <c r="A11" s="191"/>
      <c r="C11" s="296" t="s">
        <v>697</v>
      </c>
      <c r="D11" s="192" t="s">
        <v>779</v>
      </c>
      <c r="E11" s="290">
        <f t="shared" ca="1" si="0"/>
        <v>3</v>
      </c>
      <c r="F11" s="315" t="s">
        <v>780</v>
      </c>
      <c r="G11" s="3"/>
      <c r="H11" s="185"/>
      <c r="I11" s="185"/>
      <c r="J11" s="185"/>
      <c r="K11" s="185"/>
      <c r="L11" s="185"/>
      <c r="O11" s="190"/>
      <c r="Q11" s="185"/>
      <c r="T11" s="190"/>
    </row>
    <row r="12" spans="1:20" s="186" customFormat="1" ht="20.100000000000001" customHeight="1" x14ac:dyDescent="0.25">
      <c r="A12" s="191"/>
      <c r="C12" s="296" t="s">
        <v>696</v>
      </c>
      <c r="D12" s="192" t="s">
        <v>761</v>
      </c>
      <c r="E12" s="290">
        <f t="shared" ca="1" si="0"/>
        <v>38</v>
      </c>
      <c r="F12" s="315"/>
      <c r="G12" s="3"/>
      <c r="H12" s="185"/>
      <c r="I12" s="185"/>
      <c r="J12" s="185"/>
      <c r="K12" s="185"/>
      <c r="L12" s="185"/>
      <c r="O12" s="190"/>
      <c r="Q12" s="185"/>
      <c r="T12" s="190"/>
    </row>
    <row r="13" spans="1:20" s="186" customFormat="1" ht="20.100000000000001" customHeight="1" x14ac:dyDescent="0.25">
      <c r="A13" s="191"/>
      <c r="C13" s="296" t="s">
        <v>821</v>
      </c>
      <c r="D13" s="192" t="s">
        <v>822</v>
      </c>
      <c r="E13" s="290">
        <f t="shared" ca="1" si="0"/>
        <v>27</v>
      </c>
      <c r="F13" s="315"/>
      <c r="G13" s="3"/>
      <c r="H13" s="185"/>
      <c r="I13" s="185"/>
      <c r="J13" s="185"/>
      <c r="K13" s="185"/>
      <c r="L13" s="185"/>
      <c r="O13" s="190"/>
      <c r="Q13" s="185"/>
      <c r="T13" s="190"/>
    </row>
    <row r="14" spans="1:20" s="186" customFormat="1" ht="20.100000000000001" customHeight="1" x14ac:dyDescent="0.25">
      <c r="A14" s="191"/>
      <c r="C14" s="296" t="s">
        <v>125</v>
      </c>
      <c r="D14" s="192" t="s">
        <v>760</v>
      </c>
      <c r="E14" s="290">
        <f t="shared" ca="1" si="0"/>
        <v>134</v>
      </c>
      <c r="F14" s="315"/>
      <c r="G14" s="3"/>
      <c r="H14" s="185"/>
      <c r="I14" s="185"/>
      <c r="J14" s="185"/>
      <c r="K14" s="185"/>
      <c r="L14" s="185"/>
      <c r="O14" s="190"/>
      <c r="Q14" s="185"/>
      <c r="T14" s="190"/>
    </row>
    <row r="15" spans="1:20" s="186" customFormat="1" ht="20.100000000000001" customHeight="1" x14ac:dyDescent="0.25">
      <c r="A15" s="191"/>
      <c r="C15" s="296" t="s">
        <v>130</v>
      </c>
      <c r="D15" s="192" t="s">
        <v>758</v>
      </c>
      <c r="E15" s="290">
        <f t="shared" ca="1" si="0"/>
        <v>50</v>
      </c>
      <c r="F15" s="315"/>
      <c r="G15" s="3"/>
      <c r="H15" s="185"/>
      <c r="I15" s="185"/>
      <c r="J15" s="185"/>
      <c r="K15" s="185"/>
      <c r="L15" s="185"/>
      <c r="O15" s="190"/>
      <c r="Q15" s="185"/>
      <c r="T15" s="190"/>
    </row>
    <row r="16" spans="1:20" s="186" customFormat="1" ht="20.100000000000001" customHeight="1" x14ac:dyDescent="0.25">
      <c r="A16" s="191"/>
      <c r="C16" s="296" t="s">
        <v>164</v>
      </c>
      <c r="D16" s="192" t="s">
        <v>759</v>
      </c>
      <c r="E16" s="290">
        <f t="shared" ca="1" si="0"/>
        <v>34</v>
      </c>
      <c r="F16" s="315"/>
      <c r="G16" s="3"/>
      <c r="H16" s="185"/>
      <c r="I16" s="185"/>
      <c r="J16" s="185"/>
      <c r="K16" s="185"/>
      <c r="L16" s="185"/>
      <c r="O16" s="190"/>
      <c r="Q16" s="185"/>
      <c r="T16" s="190"/>
    </row>
    <row r="17" spans="1:20" s="186" customFormat="1" ht="20.100000000000001" customHeight="1" x14ac:dyDescent="0.25">
      <c r="A17" s="191"/>
      <c r="C17" s="293" t="s">
        <v>698</v>
      </c>
      <c r="D17" s="192" t="s">
        <v>819</v>
      </c>
      <c r="E17" s="290">
        <f t="shared" ca="1" si="0"/>
        <v>6</v>
      </c>
      <c r="F17" s="315"/>
      <c r="G17" s="3"/>
      <c r="H17" s="185"/>
      <c r="I17" s="185"/>
      <c r="J17" s="185"/>
      <c r="K17" s="185"/>
      <c r="L17" s="185"/>
      <c r="O17" s="190"/>
      <c r="Q17" s="185"/>
      <c r="T17" s="190"/>
    </row>
    <row r="18" spans="1:20" s="186" customFormat="1" ht="20.100000000000001" customHeight="1" thickBot="1" x14ac:dyDescent="0.3">
      <c r="A18" s="191"/>
      <c r="C18" s="299"/>
      <c r="D18" s="300"/>
      <c r="E18" s="301" t="str">
        <f t="shared" ca="1" si="0"/>
        <v/>
      </c>
      <c r="F18" s="315"/>
      <c r="G18" s="3"/>
      <c r="H18" s="185"/>
      <c r="I18" s="185"/>
      <c r="J18" s="185"/>
      <c r="K18" s="185"/>
      <c r="L18" s="185"/>
      <c r="O18" s="190"/>
      <c r="Q18" s="185"/>
      <c r="T18" s="190"/>
    </row>
    <row r="19" spans="1:20" s="186" customFormat="1" ht="7.5" customHeight="1" x14ac:dyDescent="0.25">
      <c r="A19" s="191"/>
      <c r="C19" s="297"/>
      <c r="D19" s="297"/>
      <c r="E19" s="298"/>
      <c r="F19" s="315"/>
      <c r="G19" s="298"/>
      <c r="H19" s="185"/>
      <c r="I19" s="185"/>
      <c r="J19" s="185"/>
      <c r="K19" s="185"/>
      <c r="L19" s="185"/>
      <c r="O19" s="190"/>
      <c r="Q19" s="185"/>
      <c r="T19" s="190"/>
    </row>
    <row r="20" spans="1:20" s="186" customFormat="1" ht="20.100000000000001" customHeight="1" x14ac:dyDescent="0.25">
      <c r="A20" s="191"/>
      <c r="C20" s="296" t="s">
        <v>715</v>
      </c>
      <c r="D20" s="192" t="s">
        <v>714</v>
      </c>
      <c r="E20" s="290">
        <f t="shared" ca="1" si="0"/>
        <v>14</v>
      </c>
      <c r="F20" s="315" t="s">
        <v>820</v>
      </c>
      <c r="G20" s="3"/>
      <c r="H20" s="185"/>
      <c r="I20" s="185"/>
      <c r="J20" s="185"/>
      <c r="K20" s="185"/>
      <c r="L20" s="185"/>
      <c r="O20" s="190"/>
      <c r="Q20" s="185"/>
      <c r="T20" s="190"/>
    </row>
    <row r="21" spans="1:20" s="186" customFormat="1" ht="20.100000000000001" customHeight="1" x14ac:dyDescent="0.25">
      <c r="A21" s="191"/>
      <c r="E21" s="185"/>
      <c r="F21" s="185"/>
      <c r="G21" s="185"/>
      <c r="H21" s="185"/>
      <c r="I21" s="185"/>
      <c r="J21" s="185"/>
      <c r="K21" s="185"/>
      <c r="L21" s="185"/>
      <c r="O21" s="190"/>
      <c r="Q21" s="185"/>
      <c r="T21" s="190"/>
    </row>
    <row r="22" spans="1:20" s="186" customFormat="1" ht="20.100000000000001" customHeight="1" x14ac:dyDescent="0.25">
      <c r="A22" s="191"/>
      <c r="E22" s="185"/>
      <c r="F22" s="185"/>
      <c r="G22" s="185"/>
      <c r="H22" s="185"/>
      <c r="I22" s="185"/>
      <c r="J22" s="185"/>
      <c r="K22" s="185"/>
      <c r="L22" s="185"/>
      <c r="O22" s="190"/>
      <c r="Q22" s="185"/>
      <c r="T22" s="190"/>
    </row>
    <row r="23" spans="1:20" x14ac:dyDescent="0.25">
      <c r="A23" s="184"/>
      <c r="B23" s="186"/>
      <c r="C23" s="185"/>
      <c r="D23" s="185"/>
      <c r="E23" s="185"/>
      <c r="F23" s="185"/>
      <c r="G23" s="185"/>
      <c r="H23" s="185"/>
      <c r="I23" s="185"/>
      <c r="J23" s="185"/>
      <c r="K23" s="185"/>
      <c r="L23" s="185"/>
      <c r="Q23" s="185"/>
    </row>
    <row r="24" spans="1:20" x14ac:dyDescent="0.25">
      <c r="A24" s="184"/>
      <c r="B24" s="186"/>
      <c r="C24" s="185"/>
      <c r="D24" s="185"/>
      <c r="E24" s="185"/>
      <c r="F24" s="185"/>
      <c r="G24" s="185"/>
      <c r="H24" s="185"/>
      <c r="I24" s="185"/>
      <c r="J24" s="185"/>
      <c r="K24" s="185"/>
      <c r="L24" s="185"/>
      <c r="Q24" s="185"/>
    </row>
    <row r="25" spans="1:20" x14ac:dyDescent="0.25">
      <c r="A25" s="184"/>
      <c r="B25" s="186"/>
      <c r="C25" s="185"/>
      <c r="D25" s="185"/>
      <c r="E25" s="185"/>
      <c r="F25" s="185"/>
      <c r="G25" s="185"/>
      <c r="H25" s="185"/>
      <c r="I25" s="185"/>
      <c r="J25" s="185"/>
      <c r="K25" s="185"/>
      <c r="L25" s="185"/>
      <c r="Q25" s="185"/>
    </row>
    <row r="26" spans="1:20" x14ac:dyDescent="0.25">
      <c r="A26" s="184"/>
      <c r="B26" s="186"/>
      <c r="C26" s="185"/>
      <c r="D26" s="185"/>
      <c r="E26" s="185"/>
      <c r="F26" s="185"/>
      <c r="G26" s="185"/>
      <c r="H26" s="185"/>
      <c r="I26" s="185"/>
      <c r="J26" s="185"/>
      <c r="K26" s="185"/>
      <c r="L26" s="185"/>
      <c r="Q26" s="185"/>
    </row>
    <row r="27" spans="1:20" x14ac:dyDescent="0.25">
      <c r="A27" s="184"/>
      <c r="B27" s="186"/>
      <c r="C27" s="185"/>
      <c r="D27" s="185"/>
      <c r="E27" s="185"/>
      <c r="F27" s="185"/>
      <c r="G27" s="185"/>
      <c r="H27" s="185"/>
      <c r="I27" s="185"/>
      <c r="J27" s="185"/>
      <c r="K27" s="185"/>
      <c r="L27" s="185"/>
      <c r="Q27" s="185"/>
    </row>
    <row r="28" spans="1:20" x14ac:dyDescent="0.25">
      <c r="A28" s="184"/>
      <c r="B28" s="186"/>
      <c r="C28" s="185"/>
      <c r="D28" s="185"/>
      <c r="E28" s="185"/>
      <c r="F28" s="185"/>
      <c r="G28" s="185"/>
      <c r="H28" s="185"/>
      <c r="I28" s="185"/>
      <c r="J28" s="185"/>
      <c r="K28" s="185"/>
      <c r="L28" s="185"/>
      <c r="Q28" s="185"/>
    </row>
    <row r="29" spans="1:20" s="306" customFormat="1" hidden="1" x14ac:dyDescent="0.25">
      <c r="A29" s="303" t="s">
        <v>424</v>
      </c>
      <c r="B29" s="304" t="s">
        <v>744</v>
      </c>
      <c r="C29" s="305" t="s">
        <v>378</v>
      </c>
      <c r="D29" s="305" t="s">
        <v>488</v>
      </c>
      <c r="E29" s="305" t="s">
        <v>597</v>
      </c>
      <c r="F29" s="305" t="s">
        <v>697</v>
      </c>
      <c r="G29" s="305" t="s">
        <v>696</v>
      </c>
      <c r="H29" s="305" t="s">
        <v>821</v>
      </c>
      <c r="I29" s="305" t="s">
        <v>125</v>
      </c>
      <c r="J29" s="305" t="s">
        <v>130</v>
      </c>
      <c r="K29" s="305" t="s">
        <v>695</v>
      </c>
      <c r="L29" s="305" t="s">
        <v>164</v>
      </c>
      <c r="M29" s="306" t="s">
        <v>698</v>
      </c>
      <c r="O29" s="307"/>
      <c r="Q29" s="305" t="s">
        <v>715</v>
      </c>
      <c r="T29" s="307"/>
    </row>
    <row r="30" spans="1:20" s="306" customFormat="1" hidden="1" x14ac:dyDescent="0.25">
      <c r="A30" s="303" t="s">
        <v>425</v>
      </c>
      <c r="C30" s="302" t="s">
        <v>377</v>
      </c>
      <c r="E30" s="302" t="s">
        <v>657</v>
      </c>
      <c r="H30" s="302"/>
      <c r="K30" s="302" t="s">
        <v>713</v>
      </c>
      <c r="O30" s="307"/>
      <c r="Q30" s="302" t="s">
        <v>714</v>
      </c>
      <c r="T30" s="307"/>
    </row>
    <row r="31" spans="1:20" s="306" customFormat="1" hidden="1" x14ac:dyDescent="0.25">
      <c r="A31" s="308" t="s">
        <v>426</v>
      </c>
      <c r="B31" s="309"/>
      <c r="C31" s="310"/>
      <c r="D31" s="309"/>
      <c r="E31" s="309"/>
      <c r="F31" s="309"/>
      <c r="G31" s="309"/>
      <c r="H31" s="309"/>
      <c r="I31" s="309"/>
      <c r="J31" s="309"/>
      <c r="K31" s="309"/>
      <c r="L31" s="309"/>
      <c r="O31" s="307"/>
      <c r="Q31" s="309"/>
      <c r="T31" s="307"/>
    </row>
    <row r="32" spans="1:20" s="306" customFormat="1" ht="25.5" hidden="1" x14ac:dyDescent="0.2">
      <c r="A32" s="304" t="s">
        <v>743</v>
      </c>
      <c r="B32" s="306" t="s">
        <v>124</v>
      </c>
      <c r="C32" s="306" t="s">
        <v>390</v>
      </c>
      <c r="D32" s="306" t="s">
        <v>489</v>
      </c>
      <c r="E32" s="306" t="s">
        <v>619</v>
      </c>
      <c r="F32" s="311" t="s">
        <v>166</v>
      </c>
      <c r="G32" s="306" t="s">
        <v>466</v>
      </c>
      <c r="H32" s="306" t="s">
        <v>825</v>
      </c>
      <c r="I32" s="306">
        <v>1214</v>
      </c>
      <c r="J32" s="306" t="s">
        <v>345</v>
      </c>
      <c r="K32" s="306" t="s">
        <v>669</v>
      </c>
      <c r="L32" s="306" t="s">
        <v>429</v>
      </c>
      <c r="M32" s="311" t="s">
        <v>589</v>
      </c>
      <c r="O32" s="307"/>
      <c r="Q32" s="306" t="s">
        <v>719</v>
      </c>
      <c r="T32" s="307"/>
    </row>
    <row r="33" spans="3:20" s="306" customFormat="1" ht="25.5" hidden="1" x14ac:dyDescent="0.2">
      <c r="C33" s="312" t="s">
        <v>391</v>
      </c>
      <c r="D33" s="306" t="s">
        <v>490</v>
      </c>
      <c r="E33" s="306" t="s">
        <v>620</v>
      </c>
      <c r="F33" s="311" t="s">
        <v>167</v>
      </c>
      <c r="G33" s="306" t="s">
        <v>465</v>
      </c>
      <c r="H33" s="306" t="s">
        <v>830</v>
      </c>
      <c r="I33" s="306">
        <v>1413</v>
      </c>
      <c r="J33" s="312" t="s">
        <v>365</v>
      </c>
      <c r="K33" s="312" t="s">
        <v>668</v>
      </c>
      <c r="L33" s="306" t="s">
        <v>451</v>
      </c>
      <c r="M33" s="311" t="s">
        <v>590</v>
      </c>
      <c r="O33" s="307"/>
      <c r="Q33" s="306" t="s">
        <v>720</v>
      </c>
      <c r="T33" s="307"/>
    </row>
    <row r="34" spans="3:20" s="306" customFormat="1" ht="25.5" hidden="1" x14ac:dyDescent="0.2">
      <c r="C34" s="312" t="s">
        <v>398</v>
      </c>
      <c r="D34" s="306" t="s">
        <v>491</v>
      </c>
      <c r="E34" s="306" t="s">
        <v>621</v>
      </c>
      <c r="F34" s="311" t="s">
        <v>168</v>
      </c>
      <c r="G34" s="306" t="s">
        <v>464</v>
      </c>
      <c r="H34" s="306" t="s">
        <v>827</v>
      </c>
      <c r="I34" s="306">
        <v>1416</v>
      </c>
      <c r="J34" s="312" t="s">
        <v>131</v>
      </c>
      <c r="K34" s="312" t="s">
        <v>667</v>
      </c>
      <c r="L34" s="306" t="s">
        <v>452</v>
      </c>
      <c r="M34" s="311" t="s">
        <v>591</v>
      </c>
      <c r="O34" s="307"/>
      <c r="Q34" s="306" t="s">
        <v>721</v>
      </c>
      <c r="T34" s="307"/>
    </row>
    <row r="35" spans="3:20" s="306" customFormat="1" hidden="1" x14ac:dyDescent="0.2">
      <c r="C35" s="312" t="s">
        <v>392</v>
      </c>
      <c r="D35" s="306" t="s">
        <v>492</v>
      </c>
      <c r="E35" s="306" t="s">
        <v>622</v>
      </c>
      <c r="G35" s="306" t="s">
        <v>469</v>
      </c>
      <c r="H35" s="306" t="s">
        <v>828</v>
      </c>
      <c r="I35" s="306">
        <v>1514</v>
      </c>
      <c r="J35" s="312" t="s">
        <v>132</v>
      </c>
      <c r="K35" s="312" t="s">
        <v>666</v>
      </c>
      <c r="L35" s="306" t="s">
        <v>453</v>
      </c>
      <c r="M35" s="311" t="s">
        <v>592</v>
      </c>
      <c r="O35" s="307"/>
      <c r="Q35" s="306" t="s">
        <v>722</v>
      </c>
      <c r="T35" s="307"/>
    </row>
    <row r="36" spans="3:20" s="306" customFormat="1" hidden="1" x14ac:dyDescent="0.2">
      <c r="C36" s="312" t="s">
        <v>393</v>
      </c>
      <c r="D36" s="306" t="s">
        <v>493</v>
      </c>
      <c r="E36" s="306" t="s">
        <v>623</v>
      </c>
      <c r="G36" s="306" t="s">
        <v>468</v>
      </c>
      <c r="H36" s="306" t="s">
        <v>829</v>
      </c>
      <c r="I36" s="306">
        <v>1516</v>
      </c>
      <c r="J36" s="312" t="s">
        <v>133</v>
      </c>
      <c r="K36" s="312" t="s">
        <v>678</v>
      </c>
      <c r="L36" s="306" t="s">
        <v>454</v>
      </c>
      <c r="M36" s="311" t="s">
        <v>593</v>
      </c>
      <c r="O36" s="307"/>
      <c r="Q36" s="306" t="s">
        <v>716</v>
      </c>
      <c r="T36" s="307"/>
    </row>
    <row r="37" spans="3:20" s="306" customFormat="1" hidden="1" x14ac:dyDescent="0.2">
      <c r="C37" s="312" t="s">
        <v>379</v>
      </c>
      <c r="D37" s="306" t="s">
        <v>494</v>
      </c>
      <c r="E37" s="306" t="s">
        <v>639</v>
      </c>
      <c r="G37" s="306" t="s">
        <v>467</v>
      </c>
      <c r="H37" s="306" t="s">
        <v>826</v>
      </c>
      <c r="I37" s="306">
        <v>1614</v>
      </c>
      <c r="J37" s="312" t="s">
        <v>134</v>
      </c>
      <c r="K37" s="312" t="s">
        <v>679</v>
      </c>
      <c r="L37" s="306" t="s">
        <v>455</v>
      </c>
      <c r="M37" s="311" t="s">
        <v>594</v>
      </c>
      <c r="O37" s="307"/>
      <c r="Q37" s="306" t="s">
        <v>717</v>
      </c>
      <c r="T37" s="307"/>
    </row>
    <row r="38" spans="3:20" s="306" customFormat="1" hidden="1" x14ac:dyDescent="0.25">
      <c r="C38" s="312" t="s">
        <v>380</v>
      </c>
      <c r="D38" s="306" t="s">
        <v>495</v>
      </c>
      <c r="E38" s="306" t="s">
        <v>640</v>
      </c>
      <c r="G38" s="306" t="s">
        <v>471</v>
      </c>
      <c r="H38" s="306" t="s">
        <v>831</v>
      </c>
      <c r="I38" s="306">
        <v>1616</v>
      </c>
      <c r="J38" s="312" t="s">
        <v>347</v>
      </c>
      <c r="K38" s="312" t="s">
        <v>677</v>
      </c>
      <c r="L38" s="306" t="s">
        <v>456</v>
      </c>
      <c r="O38" s="307"/>
      <c r="Q38" s="306" t="s">
        <v>718</v>
      </c>
      <c r="T38" s="307"/>
    </row>
    <row r="39" spans="3:20" s="306" customFormat="1" hidden="1" x14ac:dyDescent="0.25">
      <c r="C39" s="312" t="s">
        <v>381</v>
      </c>
      <c r="D39" s="306" t="s">
        <v>374</v>
      </c>
      <c r="E39" s="306" t="s">
        <v>641</v>
      </c>
      <c r="G39" s="306" t="s">
        <v>470</v>
      </c>
      <c r="H39" s="306" t="s">
        <v>824</v>
      </c>
      <c r="I39" s="306">
        <v>1618</v>
      </c>
      <c r="J39" s="312" t="s">
        <v>348</v>
      </c>
      <c r="K39" s="312" t="s">
        <v>682</v>
      </c>
      <c r="L39" s="306" t="s">
        <v>457</v>
      </c>
      <c r="O39" s="307"/>
      <c r="Q39" s="306" t="s">
        <v>724</v>
      </c>
      <c r="T39" s="307"/>
    </row>
    <row r="40" spans="3:20" s="306" customFormat="1" hidden="1" x14ac:dyDescent="0.25">
      <c r="C40" s="312" t="s">
        <v>382</v>
      </c>
      <c r="D40" s="306" t="s">
        <v>373</v>
      </c>
      <c r="E40" s="306" t="s">
        <v>642</v>
      </c>
      <c r="G40" s="306" t="s">
        <v>473</v>
      </c>
      <c r="H40" s="306" t="s">
        <v>846</v>
      </c>
      <c r="I40" s="306">
        <v>1713</v>
      </c>
      <c r="J40" s="312" t="s">
        <v>349</v>
      </c>
      <c r="K40" s="312" t="s">
        <v>683</v>
      </c>
      <c r="L40" s="306" t="s">
        <v>458</v>
      </c>
      <c r="O40" s="307"/>
      <c r="Q40" s="306" t="s">
        <v>723</v>
      </c>
      <c r="T40" s="307"/>
    </row>
    <row r="41" spans="3:20" s="306" customFormat="1" hidden="1" x14ac:dyDescent="0.25">
      <c r="C41" s="312" t="s">
        <v>383</v>
      </c>
      <c r="D41" s="306" t="s">
        <v>375</v>
      </c>
      <c r="E41" s="306" t="s">
        <v>643</v>
      </c>
      <c r="G41" s="306" t="s">
        <v>472</v>
      </c>
      <c r="H41" s="306" t="s">
        <v>847</v>
      </c>
      <c r="I41" s="306">
        <v>1714</v>
      </c>
      <c r="J41" s="312" t="s">
        <v>351</v>
      </c>
      <c r="K41" s="312" t="s">
        <v>684</v>
      </c>
      <c r="L41" s="306" t="s">
        <v>459</v>
      </c>
      <c r="O41" s="307"/>
      <c r="Q41" s="306" t="s">
        <v>729</v>
      </c>
      <c r="T41" s="307"/>
    </row>
    <row r="42" spans="3:20" s="306" customFormat="1" hidden="1" x14ac:dyDescent="0.25">
      <c r="C42" s="312" t="s">
        <v>384</v>
      </c>
      <c r="D42" s="306" t="s">
        <v>376</v>
      </c>
      <c r="E42" s="306" t="s">
        <v>634</v>
      </c>
      <c r="G42" s="306" t="s">
        <v>474</v>
      </c>
      <c r="H42" s="306" t="s">
        <v>849</v>
      </c>
      <c r="I42" s="306">
        <v>1716</v>
      </c>
      <c r="J42" s="312" t="s">
        <v>350</v>
      </c>
      <c r="K42" s="312" t="s">
        <v>685</v>
      </c>
      <c r="L42" s="306" t="s">
        <v>460</v>
      </c>
      <c r="O42" s="307"/>
      <c r="Q42" s="306" t="s">
        <v>728</v>
      </c>
      <c r="T42" s="307"/>
    </row>
    <row r="43" spans="3:20" s="306" customFormat="1" hidden="1" x14ac:dyDescent="0.25">
      <c r="C43" s="312" t="s">
        <v>385</v>
      </c>
      <c r="D43" s="306" t="s">
        <v>496</v>
      </c>
      <c r="E43" s="306" t="s">
        <v>635</v>
      </c>
      <c r="G43" s="306" t="s">
        <v>476</v>
      </c>
      <c r="H43" s="306" t="s">
        <v>848</v>
      </c>
      <c r="I43" s="306">
        <v>1813</v>
      </c>
      <c r="J43" s="312" t="s">
        <v>353</v>
      </c>
      <c r="K43" s="312" t="s">
        <v>687</v>
      </c>
      <c r="L43" s="306" t="s">
        <v>461</v>
      </c>
      <c r="O43" s="307"/>
      <c r="Q43" s="306" t="s">
        <v>727</v>
      </c>
      <c r="T43" s="307"/>
    </row>
    <row r="44" spans="3:20" s="306" customFormat="1" hidden="1" x14ac:dyDescent="0.25">
      <c r="C44" s="312" t="s">
        <v>386</v>
      </c>
      <c r="D44" s="306" t="s">
        <v>497</v>
      </c>
      <c r="E44" s="306" t="s">
        <v>636</v>
      </c>
      <c r="G44" s="306" t="s">
        <v>475</v>
      </c>
      <c r="H44" s="306" t="s">
        <v>850</v>
      </c>
      <c r="I44" s="306">
        <v>1814</v>
      </c>
      <c r="J44" s="312" t="s">
        <v>352</v>
      </c>
      <c r="K44" s="312" t="s">
        <v>686</v>
      </c>
      <c r="L44" s="306" t="s">
        <v>462</v>
      </c>
      <c r="O44" s="307"/>
      <c r="Q44" s="306" t="s">
        <v>726</v>
      </c>
      <c r="T44" s="307"/>
    </row>
    <row r="45" spans="3:20" s="306" customFormat="1" hidden="1" x14ac:dyDescent="0.25">
      <c r="C45" s="312" t="s">
        <v>387</v>
      </c>
      <c r="D45" s="306" t="s">
        <v>498</v>
      </c>
      <c r="E45" s="306" t="s">
        <v>637</v>
      </c>
      <c r="G45" s="306" t="s">
        <v>478</v>
      </c>
      <c r="H45" s="306" t="s">
        <v>841</v>
      </c>
      <c r="I45" s="306">
        <v>1816</v>
      </c>
      <c r="J45" s="312" t="s">
        <v>359</v>
      </c>
      <c r="K45" s="312" t="s">
        <v>675</v>
      </c>
      <c r="L45" s="306" t="s">
        <v>430</v>
      </c>
      <c r="O45" s="307"/>
      <c r="Q45" s="306" t="s">
        <v>725</v>
      </c>
      <c r="T45" s="307"/>
    </row>
    <row r="46" spans="3:20" s="306" customFormat="1" hidden="1" x14ac:dyDescent="0.25">
      <c r="C46" s="312" t="s">
        <v>402</v>
      </c>
      <c r="D46" s="306" t="s">
        <v>499</v>
      </c>
      <c r="E46" s="306" t="s">
        <v>638</v>
      </c>
      <c r="G46" s="306" t="s">
        <v>477</v>
      </c>
      <c r="H46" s="306" t="s">
        <v>840</v>
      </c>
      <c r="I46" s="306">
        <v>1820</v>
      </c>
      <c r="J46" s="312" t="s">
        <v>360</v>
      </c>
      <c r="K46" s="312" t="s">
        <v>676</v>
      </c>
      <c r="L46" s="306" t="s">
        <v>431</v>
      </c>
      <c r="O46" s="307"/>
      <c r="T46" s="307"/>
    </row>
    <row r="47" spans="3:20" s="306" customFormat="1" hidden="1" x14ac:dyDescent="0.25">
      <c r="C47" s="312" t="s">
        <v>403</v>
      </c>
      <c r="D47" s="306" t="s">
        <v>500</v>
      </c>
      <c r="E47" s="306" t="s">
        <v>624</v>
      </c>
      <c r="G47" s="306" t="s">
        <v>480</v>
      </c>
      <c r="H47" s="306" t="s">
        <v>843</v>
      </c>
      <c r="I47" s="306">
        <v>1913</v>
      </c>
      <c r="J47" s="312" t="s">
        <v>361</v>
      </c>
      <c r="K47" s="312" t="s">
        <v>694</v>
      </c>
      <c r="L47" s="306" t="s">
        <v>432</v>
      </c>
      <c r="O47" s="307"/>
      <c r="T47" s="307"/>
    </row>
    <row r="48" spans="3:20" s="306" customFormat="1" hidden="1" x14ac:dyDescent="0.25">
      <c r="C48" s="312" t="s">
        <v>404</v>
      </c>
      <c r="D48" s="306" t="s">
        <v>501</v>
      </c>
      <c r="E48" s="306" t="s">
        <v>625</v>
      </c>
      <c r="G48" s="306" t="s">
        <v>479</v>
      </c>
      <c r="H48" s="306" t="s">
        <v>842</v>
      </c>
      <c r="I48" s="306">
        <v>1914</v>
      </c>
      <c r="J48" s="312" t="s">
        <v>362</v>
      </c>
      <c r="K48" s="312" t="s">
        <v>693</v>
      </c>
      <c r="L48" s="306" t="s">
        <v>433</v>
      </c>
      <c r="O48" s="307"/>
      <c r="T48" s="307"/>
    </row>
    <row r="49" spans="3:20" s="306" customFormat="1" hidden="1" x14ac:dyDescent="0.25">
      <c r="C49" s="312" t="s">
        <v>397</v>
      </c>
      <c r="D49" s="306" t="s">
        <v>502</v>
      </c>
      <c r="E49" s="306" t="s">
        <v>626</v>
      </c>
      <c r="G49" s="306" t="s">
        <v>483</v>
      </c>
      <c r="H49" s="306" t="s">
        <v>845</v>
      </c>
      <c r="I49" s="306">
        <v>1916</v>
      </c>
      <c r="J49" s="312" t="s">
        <v>363</v>
      </c>
      <c r="K49" s="312" t="s">
        <v>692</v>
      </c>
      <c r="L49" s="306" t="s">
        <v>434</v>
      </c>
      <c r="O49" s="307"/>
      <c r="T49" s="307"/>
    </row>
    <row r="50" spans="3:20" s="306" customFormat="1" hidden="1" x14ac:dyDescent="0.25">
      <c r="C50" s="312" t="s">
        <v>394</v>
      </c>
      <c r="D50" s="306" t="s">
        <v>503</v>
      </c>
      <c r="E50" s="306" t="s">
        <v>627</v>
      </c>
      <c r="G50" s="306" t="s">
        <v>482</v>
      </c>
      <c r="H50" s="306" t="s">
        <v>844</v>
      </c>
      <c r="I50" s="306">
        <v>2013</v>
      </c>
      <c r="J50" s="312" t="s">
        <v>333</v>
      </c>
      <c r="K50" s="312" t="s">
        <v>690</v>
      </c>
      <c r="L50" s="306" t="s">
        <v>435</v>
      </c>
      <c r="O50" s="307"/>
      <c r="T50" s="307"/>
    </row>
    <row r="51" spans="3:20" s="306" customFormat="1" hidden="1" x14ac:dyDescent="0.25">
      <c r="C51" s="312" t="s">
        <v>399</v>
      </c>
      <c r="D51" s="306" t="s">
        <v>141</v>
      </c>
      <c r="E51" s="306" t="s">
        <v>628</v>
      </c>
      <c r="G51" s="306" t="s">
        <v>481</v>
      </c>
      <c r="H51" s="306" t="s">
        <v>833</v>
      </c>
      <c r="I51" s="306">
        <v>2014</v>
      </c>
      <c r="J51" s="312" t="s">
        <v>334</v>
      </c>
      <c r="K51" s="312" t="s">
        <v>691</v>
      </c>
      <c r="L51" s="306" t="s">
        <v>436</v>
      </c>
      <c r="O51" s="307"/>
      <c r="T51" s="307"/>
    </row>
    <row r="52" spans="3:20" s="306" customFormat="1" hidden="1" x14ac:dyDescent="0.25">
      <c r="C52" s="312" t="s">
        <v>395</v>
      </c>
      <c r="D52" s="306" t="s">
        <v>142</v>
      </c>
      <c r="E52" s="306" t="s">
        <v>602</v>
      </c>
      <c r="G52" s="306" t="s">
        <v>487</v>
      </c>
      <c r="H52" s="306" t="s">
        <v>832</v>
      </c>
      <c r="I52" s="306">
        <v>2016</v>
      </c>
      <c r="J52" s="312" t="s">
        <v>335</v>
      </c>
      <c r="K52" s="312" t="s">
        <v>689</v>
      </c>
      <c r="L52" s="306" t="s">
        <v>437</v>
      </c>
      <c r="O52" s="307"/>
      <c r="T52" s="307"/>
    </row>
    <row r="53" spans="3:20" s="306" customFormat="1" hidden="1" x14ac:dyDescent="0.25">
      <c r="C53" s="312" t="s">
        <v>396</v>
      </c>
      <c r="D53" s="306" t="s">
        <v>143</v>
      </c>
      <c r="E53" s="306" t="s">
        <v>604</v>
      </c>
      <c r="G53" s="306" t="s">
        <v>486</v>
      </c>
      <c r="H53" s="306" t="s">
        <v>835</v>
      </c>
      <c r="I53" s="306">
        <v>2018</v>
      </c>
      <c r="J53" s="312" t="s">
        <v>336</v>
      </c>
      <c r="K53" s="312" t="s">
        <v>673</v>
      </c>
      <c r="L53" s="306" t="s">
        <v>438</v>
      </c>
      <c r="O53" s="307"/>
      <c r="T53" s="307"/>
    </row>
    <row r="54" spans="3:20" s="306" customFormat="1" hidden="1" x14ac:dyDescent="0.25">
      <c r="C54" s="312" t="s">
        <v>400</v>
      </c>
      <c r="D54" s="306" t="s">
        <v>145</v>
      </c>
      <c r="E54" s="306" t="s">
        <v>603</v>
      </c>
      <c r="G54" s="306" t="s">
        <v>485</v>
      </c>
      <c r="H54" s="306" t="s">
        <v>834</v>
      </c>
      <c r="I54" s="306">
        <v>2020</v>
      </c>
      <c r="J54" s="312" t="s">
        <v>337</v>
      </c>
      <c r="K54" s="312" t="s">
        <v>672</v>
      </c>
      <c r="L54" s="306" t="s">
        <v>439</v>
      </c>
      <c r="O54" s="307"/>
      <c r="T54" s="307"/>
    </row>
    <row r="55" spans="3:20" s="306" customFormat="1" hidden="1" x14ac:dyDescent="0.25">
      <c r="C55" s="312" t="s">
        <v>401</v>
      </c>
      <c r="D55" s="306" t="s">
        <v>146</v>
      </c>
      <c r="E55" s="306" t="s">
        <v>598</v>
      </c>
      <c r="G55" s="306" t="s">
        <v>484</v>
      </c>
      <c r="H55" s="306" t="s">
        <v>837</v>
      </c>
      <c r="I55" s="306">
        <v>2113</v>
      </c>
      <c r="J55" s="312" t="s">
        <v>367</v>
      </c>
      <c r="K55" s="312" t="s">
        <v>671</v>
      </c>
      <c r="L55" s="306" t="s">
        <v>440</v>
      </c>
      <c r="O55" s="307"/>
      <c r="T55" s="307"/>
    </row>
    <row r="56" spans="3:20" s="306" customFormat="1" hidden="1" x14ac:dyDescent="0.25">
      <c r="C56" s="312" t="s">
        <v>388</v>
      </c>
      <c r="D56" s="306" t="s">
        <v>147</v>
      </c>
      <c r="E56" s="306" t="s">
        <v>599</v>
      </c>
      <c r="G56" s="306" t="s">
        <v>138</v>
      </c>
      <c r="H56" s="306" t="s">
        <v>836</v>
      </c>
      <c r="I56" s="306">
        <v>2114</v>
      </c>
      <c r="J56" s="312" t="s">
        <v>341</v>
      </c>
      <c r="K56" s="312" t="s">
        <v>670</v>
      </c>
      <c r="L56" s="306" t="s">
        <v>441</v>
      </c>
      <c r="O56" s="307"/>
      <c r="T56" s="307"/>
    </row>
    <row r="57" spans="3:20" s="306" customFormat="1" hidden="1" x14ac:dyDescent="0.25">
      <c r="C57" s="312" t="s">
        <v>412</v>
      </c>
      <c r="D57" s="306" t="s">
        <v>148</v>
      </c>
      <c r="E57" s="306" t="s">
        <v>600</v>
      </c>
      <c r="G57" s="306" t="s">
        <v>139</v>
      </c>
      <c r="H57" s="306" t="s">
        <v>839</v>
      </c>
      <c r="I57" s="306">
        <v>2115</v>
      </c>
      <c r="J57" s="312" t="s">
        <v>342</v>
      </c>
      <c r="K57" s="312" t="s">
        <v>674</v>
      </c>
      <c r="L57" s="306" t="s">
        <v>442</v>
      </c>
      <c r="O57" s="307"/>
      <c r="T57" s="307"/>
    </row>
    <row r="58" spans="3:20" s="306" customFormat="1" hidden="1" x14ac:dyDescent="0.25">
      <c r="C58" s="312" t="s">
        <v>413</v>
      </c>
      <c r="D58" s="306" t="s">
        <v>504</v>
      </c>
      <c r="E58" s="306" t="s">
        <v>601</v>
      </c>
      <c r="G58" s="306" t="s">
        <v>140</v>
      </c>
      <c r="H58" s="306" t="s">
        <v>838</v>
      </c>
      <c r="I58" s="306">
        <v>2117</v>
      </c>
      <c r="J58" s="312" t="s">
        <v>343</v>
      </c>
      <c r="K58" s="312" t="s">
        <v>688</v>
      </c>
      <c r="L58" s="306" t="s">
        <v>443</v>
      </c>
      <c r="O58" s="307"/>
      <c r="T58" s="307"/>
    </row>
    <row r="59" spans="3:20" s="306" customFormat="1" hidden="1" x14ac:dyDescent="0.25">
      <c r="C59" s="312" t="s">
        <v>414</v>
      </c>
      <c r="D59" s="306" t="s">
        <v>505</v>
      </c>
      <c r="E59" s="306" t="s">
        <v>616</v>
      </c>
      <c r="G59" s="306" t="s">
        <v>135</v>
      </c>
      <c r="I59" s="306">
        <v>2212</v>
      </c>
      <c r="J59" s="312" t="s">
        <v>174</v>
      </c>
      <c r="K59" s="312" t="s">
        <v>680</v>
      </c>
      <c r="L59" s="306" t="s">
        <v>444</v>
      </c>
      <c r="O59" s="307"/>
      <c r="T59" s="307"/>
    </row>
    <row r="60" spans="3:20" s="306" customFormat="1" hidden="1" x14ac:dyDescent="0.25">
      <c r="C60" s="312" t="s">
        <v>405</v>
      </c>
      <c r="D60" s="306" t="s">
        <v>506</v>
      </c>
      <c r="E60" s="306" t="s">
        <v>617</v>
      </c>
      <c r="G60" s="306" t="s">
        <v>137</v>
      </c>
      <c r="I60" s="306">
        <v>2213</v>
      </c>
      <c r="J60" s="312" t="s">
        <v>175</v>
      </c>
      <c r="K60" s="312" t="s">
        <v>681</v>
      </c>
      <c r="L60" s="306" t="s">
        <v>445</v>
      </c>
      <c r="O60" s="307"/>
      <c r="T60" s="307"/>
    </row>
    <row r="61" spans="3:20" s="306" customFormat="1" hidden="1" x14ac:dyDescent="0.25">
      <c r="C61" s="312" t="s">
        <v>406</v>
      </c>
      <c r="D61" s="306" t="s">
        <v>507</v>
      </c>
      <c r="E61" s="306" t="s">
        <v>618</v>
      </c>
      <c r="G61" s="306" t="s">
        <v>169</v>
      </c>
      <c r="I61" s="306">
        <v>2214</v>
      </c>
      <c r="J61" s="312" t="s">
        <v>176</v>
      </c>
      <c r="K61" s="312"/>
      <c r="L61" s="306" t="s">
        <v>446</v>
      </c>
      <c r="O61" s="307"/>
      <c r="T61" s="307"/>
    </row>
    <row r="62" spans="3:20" s="306" customFormat="1" hidden="1" x14ac:dyDescent="0.25">
      <c r="C62" s="312" t="s">
        <v>407</v>
      </c>
      <c r="E62" s="306" t="s">
        <v>612</v>
      </c>
      <c r="G62" s="306" t="s">
        <v>170</v>
      </c>
      <c r="I62" s="306">
        <v>2215</v>
      </c>
      <c r="J62" s="312" t="s">
        <v>177</v>
      </c>
      <c r="K62" s="312"/>
      <c r="L62" s="306" t="s">
        <v>447</v>
      </c>
      <c r="O62" s="307"/>
      <c r="T62" s="307"/>
    </row>
    <row r="63" spans="3:20" s="306" customFormat="1" hidden="1" x14ac:dyDescent="0.25">
      <c r="C63" s="312" t="s">
        <v>408</v>
      </c>
      <c r="E63" s="306" t="s">
        <v>613</v>
      </c>
      <c r="G63" s="306" t="s">
        <v>170</v>
      </c>
      <c r="I63" s="306">
        <v>2216</v>
      </c>
      <c r="J63" s="312" t="s">
        <v>346</v>
      </c>
      <c r="K63" s="312"/>
      <c r="L63" s="306" t="s">
        <v>448</v>
      </c>
      <c r="O63" s="307"/>
      <c r="T63" s="307"/>
    </row>
    <row r="64" spans="3:20" s="306" customFormat="1" hidden="1" x14ac:dyDescent="0.25">
      <c r="C64" s="312" t="s">
        <v>409</v>
      </c>
      <c r="E64" s="306" t="s">
        <v>614</v>
      </c>
      <c r="G64" s="306" t="s">
        <v>171</v>
      </c>
      <c r="I64" s="306">
        <v>2219</v>
      </c>
      <c r="J64" s="312" t="s">
        <v>338</v>
      </c>
      <c r="K64" s="312"/>
      <c r="L64" s="306" t="s">
        <v>449</v>
      </c>
      <c r="O64" s="307"/>
      <c r="T64" s="307"/>
    </row>
    <row r="65" spans="3:20" s="306" customFormat="1" hidden="1" x14ac:dyDescent="0.25">
      <c r="C65" s="312" t="s">
        <v>410</v>
      </c>
      <c r="E65" s="306" t="s">
        <v>615</v>
      </c>
      <c r="G65" s="306" t="s">
        <v>172</v>
      </c>
      <c r="I65" s="306">
        <v>2312</v>
      </c>
      <c r="J65" s="312" t="s">
        <v>339</v>
      </c>
      <c r="K65" s="312"/>
      <c r="L65" s="306" t="s">
        <v>450</v>
      </c>
      <c r="O65" s="307"/>
      <c r="T65" s="307"/>
    </row>
    <row r="66" spans="3:20" s="306" customFormat="1" hidden="1" x14ac:dyDescent="0.25">
      <c r="C66" s="312" t="s">
        <v>411</v>
      </c>
      <c r="E66" s="306" t="s">
        <v>609</v>
      </c>
      <c r="G66" s="306" t="s">
        <v>173</v>
      </c>
      <c r="I66" s="306">
        <v>2314</v>
      </c>
      <c r="J66" s="312" t="s">
        <v>340</v>
      </c>
      <c r="K66" s="312"/>
      <c r="O66" s="307"/>
      <c r="T66" s="307"/>
    </row>
    <row r="67" spans="3:20" s="306" customFormat="1" hidden="1" x14ac:dyDescent="0.25">
      <c r="C67" s="312" t="s">
        <v>389</v>
      </c>
      <c r="E67" s="306" t="s">
        <v>610</v>
      </c>
      <c r="G67" s="306" t="s">
        <v>161</v>
      </c>
      <c r="I67" s="306">
        <v>2315</v>
      </c>
      <c r="J67" s="312" t="s">
        <v>368</v>
      </c>
      <c r="K67" s="312"/>
      <c r="O67" s="307"/>
      <c r="T67" s="307"/>
    </row>
    <row r="68" spans="3:20" s="306" customFormat="1" hidden="1" x14ac:dyDescent="0.25">
      <c r="C68" s="312" t="s">
        <v>415</v>
      </c>
      <c r="E68" s="306" t="s">
        <v>611</v>
      </c>
      <c r="G68" s="306" t="s">
        <v>162</v>
      </c>
      <c r="I68" s="306">
        <v>2317</v>
      </c>
      <c r="J68" s="312" t="s">
        <v>369</v>
      </c>
      <c r="K68" s="312"/>
      <c r="O68" s="307"/>
      <c r="T68" s="307"/>
    </row>
    <row r="69" spans="3:20" s="306" customFormat="1" hidden="1" x14ac:dyDescent="0.25">
      <c r="C69" s="312" t="s">
        <v>420</v>
      </c>
      <c r="E69" s="306" t="s">
        <v>605</v>
      </c>
      <c r="G69" s="306" t="s">
        <v>163</v>
      </c>
      <c r="I69" s="306">
        <v>2412</v>
      </c>
      <c r="J69" s="312" t="s">
        <v>370</v>
      </c>
      <c r="K69" s="312"/>
      <c r="O69" s="307"/>
      <c r="T69" s="307"/>
    </row>
    <row r="70" spans="3:20" s="306" customFormat="1" hidden="1" x14ac:dyDescent="0.25">
      <c r="C70" s="312" t="s">
        <v>416</v>
      </c>
      <c r="E70" s="306" t="s">
        <v>606</v>
      </c>
      <c r="I70" s="306">
        <v>2413</v>
      </c>
      <c r="J70" s="312" t="s">
        <v>371</v>
      </c>
      <c r="K70" s="312"/>
      <c r="O70" s="307"/>
      <c r="T70" s="307"/>
    </row>
    <row r="71" spans="3:20" s="306" customFormat="1" hidden="1" x14ac:dyDescent="0.25">
      <c r="C71" s="312" t="s">
        <v>421</v>
      </c>
      <c r="E71" s="306" t="s">
        <v>607</v>
      </c>
      <c r="I71" s="306">
        <v>2419</v>
      </c>
      <c r="J71" s="312" t="s">
        <v>372</v>
      </c>
      <c r="K71" s="312"/>
      <c r="O71" s="307"/>
      <c r="T71" s="307"/>
    </row>
    <row r="72" spans="3:20" s="306" customFormat="1" hidden="1" x14ac:dyDescent="0.25">
      <c r="C72" s="312" t="s">
        <v>417</v>
      </c>
      <c r="E72" s="306" t="s">
        <v>608</v>
      </c>
      <c r="I72" s="306">
        <v>2512</v>
      </c>
      <c r="J72" s="312" t="s">
        <v>354</v>
      </c>
      <c r="K72" s="312"/>
      <c r="O72" s="307"/>
      <c r="T72" s="307"/>
    </row>
    <row r="73" spans="3:20" s="306" customFormat="1" hidden="1" x14ac:dyDescent="0.25">
      <c r="C73" s="312" t="s">
        <v>422</v>
      </c>
      <c r="E73" s="306" t="s">
        <v>629</v>
      </c>
      <c r="I73" s="306">
        <v>2514</v>
      </c>
      <c r="J73" s="312" t="s">
        <v>355</v>
      </c>
      <c r="K73" s="312"/>
      <c r="O73" s="307"/>
      <c r="T73" s="307"/>
    </row>
    <row r="74" spans="3:20" s="306" customFormat="1" hidden="1" x14ac:dyDescent="0.25">
      <c r="C74" s="312" t="s">
        <v>418</v>
      </c>
      <c r="E74" s="306" t="s">
        <v>630</v>
      </c>
      <c r="I74" s="306">
        <v>2613</v>
      </c>
      <c r="J74" s="312" t="s">
        <v>356</v>
      </c>
      <c r="K74" s="312"/>
      <c r="O74" s="307"/>
      <c r="T74" s="307"/>
    </row>
    <row r="75" spans="3:20" s="306" customFormat="1" hidden="1" x14ac:dyDescent="0.25">
      <c r="C75" s="312" t="s">
        <v>423</v>
      </c>
      <c r="E75" s="306" t="s">
        <v>631</v>
      </c>
      <c r="I75" s="306">
        <v>2712</v>
      </c>
      <c r="J75" s="312" t="s">
        <v>357</v>
      </c>
      <c r="K75" s="312"/>
      <c r="O75" s="307"/>
      <c r="T75" s="307"/>
    </row>
    <row r="76" spans="3:20" s="306" customFormat="1" hidden="1" x14ac:dyDescent="0.25">
      <c r="C76" s="312" t="s">
        <v>419</v>
      </c>
      <c r="E76" s="306" t="s">
        <v>632</v>
      </c>
      <c r="I76" s="306" t="s">
        <v>512</v>
      </c>
      <c r="J76" s="312" t="s">
        <v>358</v>
      </c>
      <c r="K76" s="312"/>
      <c r="O76" s="307"/>
      <c r="T76" s="307"/>
    </row>
    <row r="77" spans="3:20" s="306" customFormat="1" hidden="1" x14ac:dyDescent="0.25">
      <c r="E77" s="306" t="s">
        <v>633</v>
      </c>
      <c r="I77" s="306" t="s">
        <v>513</v>
      </c>
      <c r="J77" s="312" t="s">
        <v>366</v>
      </c>
      <c r="K77" s="312"/>
      <c r="O77" s="307"/>
      <c r="T77" s="307"/>
    </row>
    <row r="78" spans="3:20" s="306" customFormat="1" hidden="1" x14ac:dyDescent="0.25">
      <c r="E78" s="306" t="s">
        <v>644</v>
      </c>
      <c r="I78" s="306" t="s">
        <v>514</v>
      </c>
      <c r="J78" s="312" t="s">
        <v>364</v>
      </c>
      <c r="K78" s="312"/>
      <c r="O78" s="307"/>
      <c r="T78" s="307"/>
    </row>
    <row r="79" spans="3:20" s="306" customFormat="1" hidden="1" x14ac:dyDescent="0.25">
      <c r="E79" s="306" t="s">
        <v>645</v>
      </c>
      <c r="I79" s="306" t="s">
        <v>515</v>
      </c>
      <c r="J79" s="312" t="s">
        <v>178</v>
      </c>
      <c r="K79" s="312"/>
      <c r="O79" s="307"/>
      <c r="T79" s="307"/>
    </row>
    <row r="80" spans="3:20" s="306" customFormat="1" hidden="1" x14ac:dyDescent="0.25">
      <c r="E80" s="306" t="s">
        <v>646</v>
      </c>
      <c r="I80" s="306" t="s">
        <v>516</v>
      </c>
      <c r="J80" s="312" t="s">
        <v>179</v>
      </c>
      <c r="K80" s="312"/>
      <c r="O80" s="307"/>
      <c r="T80" s="307"/>
    </row>
    <row r="81" spans="5:20" s="306" customFormat="1" hidden="1" x14ac:dyDescent="0.25">
      <c r="E81" s="306" t="s">
        <v>647</v>
      </c>
      <c r="I81" s="306" t="s">
        <v>517</v>
      </c>
      <c r="J81" s="312" t="s">
        <v>180</v>
      </c>
      <c r="K81" s="312"/>
      <c r="O81" s="307"/>
      <c r="T81" s="307"/>
    </row>
    <row r="82" spans="5:20" s="306" customFormat="1" hidden="1" x14ac:dyDescent="0.25">
      <c r="I82" s="306" t="s">
        <v>518</v>
      </c>
      <c r="O82" s="307"/>
      <c r="T82" s="307"/>
    </row>
    <row r="83" spans="5:20" s="306" customFormat="1" hidden="1" x14ac:dyDescent="0.25">
      <c r="I83" s="306" t="s">
        <v>519</v>
      </c>
      <c r="O83" s="307"/>
      <c r="T83" s="307"/>
    </row>
    <row r="84" spans="5:20" s="306" customFormat="1" hidden="1" x14ac:dyDescent="0.25">
      <c r="I84" s="306" t="s">
        <v>520</v>
      </c>
      <c r="O84" s="307"/>
      <c r="T84" s="307"/>
    </row>
    <row r="85" spans="5:20" s="306" customFormat="1" hidden="1" x14ac:dyDescent="0.25">
      <c r="I85" s="306" t="s">
        <v>521</v>
      </c>
      <c r="O85" s="307"/>
      <c r="T85" s="307"/>
    </row>
    <row r="86" spans="5:20" s="306" customFormat="1" hidden="1" x14ac:dyDescent="0.25">
      <c r="I86" s="306" t="s">
        <v>522</v>
      </c>
      <c r="O86" s="307"/>
      <c r="T86" s="307"/>
    </row>
    <row r="87" spans="5:20" s="306" customFormat="1" hidden="1" x14ac:dyDescent="0.25">
      <c r="I87" s="306" t="s">
        <v>523</v>
      </c>
      <c r="O87" s="307"/>
      <c r="T87" s="307"/>
    </row>
    <row r="88" spans="5:20" s="306" customFormat="1" hidden="1" x14ac:dyDescent="0.25">
      <c r="I88" s="306" t="s">
        <v>524</v>
      </c>
      <c r="O88" s="307"/>
      <c r="T88" s="307"/>
    </row>
    <row r="89" spans="5:20" s="306" customFormat="1" hidden="1" x14ac:dyDescent="0.25">
      <c r="I89" s="306" t="s">
        <v>525</v>
      </c>
      <c r="O89" s="307"/>
      <c r="T89" s="307"/>
    </row>
    <row r="90" spans="5:20" s="306" customFormat="1" hidden="1" x14ac:dyDescent="0.25">
      <c r="I90" s="306" t="s">
        <v>526</v>
      </c>
      <c r="O90" s="307"/>
      <c r="T90" s="307"/>
    </row>
    <row r="91" spans="5:20" s="306" customFormat="1" hidden="1" x14ac:dyDescent="0.25">
      <c r="I91" s="306" t="s">
        <v>527</v>
      </c>
      <c r="O91" s="307"/>
      <c r="T91" s="307"/>
    </row>
    <row r="92" spans="5:20" s="306" customFormat="1" hidden="1" x14ac:dyDescent="0.25">
      <c r="I92" s="306" t="s">
        <v>157</v>
      </c>
      <c r="O92" s="307"/>
      <c r="T92" s="307"/>
    </row>
    <row r="93" spans="5:20" s="306" customFormat="1" hidden="1" x14ac:dyDescent="0.25">
      <c r="I93" s="306" t="s">
        <v>158</v>
      </c>
      <c r="O93" s="307"/>
      <c r="T93" s="307"/>
    </row>
    <row r="94" spans="5:20" s="306" customFormat="1" hidden="1" x14ac:dyDescent="0.25">
      <c r="I94" s="306" t="s">
        <v>159</v>
      </c>
      <c r="O94" s="307"/>
      <c r="T94" s="307"/>
    </row>
    <row r="95" spans="5:20" s="306" customFormat="1" hidden="1" x14ac:dyDescent="0.25">
      <c r="I95" s="306" t="s">
        <v>160</v>
      </c>
      <c r="O95" s="307"/>
      <c r="T95" s="307"/>
    </row>
    <row r="96" spans="5:20" s="306" customFormat="1" hidden="1" x14ac:dyDescent="0.25">
      <c r="I96" s="306" t="s">
        <v>528</v>
      </c>
      <c r="O96" s="307"/>
      <c r="T96" s="307"/>
    </row>
    <row r="97" spans="9:20" s="306" customFormat="1" hidden="1" x14ac:dyDescent="0.25">
      <c r="I97" s="306" t="s">
        <v>529</v>
      </c>
      <c r="O97" s="307"/>
      <c r="T97" s="307"/>
    </row>
    <row r="98" spans="9:20" s="306" customFormat="1" hidden="1" x14ac:dyDescent="0.25">
      <c r="I98" s="306" t="s">
        <v>530</v>
      </c>
      <c r="O98" s="307"/>
      <c r="T98" s="307"/>
    </row>
    <row r="99" spans="9:20" s="306" customFormat="1" hidden="1" x14ac:dyDescent="0.25">
      <c r="I99" s="306" t="s">
        <v>531</v>
      </c>
      <c r="O99" s="307"/>
      <c r="T99" s="307"/>
    </row>
    <row r="100" spans="9:20" s="306" customFormat="1" hidden="1" x14ac:dyDescent="0.25">
      <c r="I100" s="306" t="s">
        <v>532</v>
      </c>
      <c r="O100" s="307"/>
      <c r="T100" s="307"/>
    </row>
    <row r="101" spans="9:20" s="306" customFormat="1" hidden="1" x14ac:dyDescent="0.25">
      <c r="I101" s="306" t="s">
        <v>533</v>
      </c>
      <c r="O101" s="307"/>
      <c r="T101" s="307"/>
    </row>
    <row r="102" spans="9:20" s="306" customFormat="1" hidden="1" x14ac:dyDescent="0.25">
      <c r="I102" s="306" t="s">
        <v>534</v>
      </c>
      <c r="O102" s="307"/>
      <c r="T102" s="307"/>
    </row>
    <row r="103" spans="9:20" s="306" customFormat="1" hidden="1" x14ac:dyDescent="0.25">
      <c r="I103" s="306" t="s">
        <v>535</v>
      </c>
      <c r="O103" s="307"/>
      <c r="T103" s="307"/>
    </row>
    <row r="104" spans="9:20" s="306" customFormat="1" hidden="1" x14ac:dyDescent="0.25">
      <c r="I104" s="306" t="s">
        <v>536</v>
      </c>
      <c r="O104" s="307"/>
      <c r="T104" s="307"/>
    </row>
    <row r="105" spans="9:20" s="306" customFormat="1" hidden="1" x14ac:dyDescent="0.25">
      <c r="I105" s="306" t="s">
        <v>537</v>
      </c>
      <c r="O105" s="307"/>
      <c r="T105" s="307"/>
    </row>
    <row r="106" spans="9:20" s="306" customFormat="1" hidden="1" x14ac:dyDescent="0.25">
      <c r="I106" s="306" t="s">
        <v>538</v>
      </c>
      <c r="O106" s="307"/>
      <c r="T106" s="307"/>
    </row>
    <row r="107" spans="9:20" s="306" customFormat="1" hidden="1" x14ac:dyDescent="0.25">
      <c r="I107" s="306" t="s">
        <v>539</v>
      </c>
      <c r="O107" s="307"/>
      <c r="T107" s="307"/>
    </row>
    <row r="108" spans="9:20" s="306" customFormat="1" hidden="1" x14ac:dyDescent="0.25">
      <c r="I108" s="306" t="s">
        <v>540</v>
      </c>
      <c r="O108" s="307"/>
      <c r="T108" s="307"/>
    </row>
    <row r="109" spans="9:20" s="306" customFormat="1" hidden="1" x14ac:dyDescent="0.25">
      <c r="I109" s="306" t="s">
        <v>126</v>
      </c>
      <c r="O109" s="307"/>
      <c r="T109" s="307"/>
    </row>
    <row r="110" spans="9:20" s="306" customFormat="1" hidden="1" x14ac:dyDescent="0.25">
      <c r="I110" s="306" t="s">
        <v>127</v>
      </c>
      <c r="O110" s="307"/>
      <c r="T110" s="307"/>
    </row>
    <row r="111" spans="9:20" s="306" customFormat="1" hidden="1" x14ac:dyDescent="0.25">
      <c r="I111" s="306" t="s">
        <v>128</v>
      </c>
      <c r="O111" s="307"/>
      <c r="T111" s="307"/>
    </row>
    <row r="112" spans="9:20" s="306" customFormat="1" hidden="1" x14ac:dyDescent="0.25">
      <c r="I112" s="306" t="s">
        <v>129</v>
      </c>
      <c r="O112" s="307"/>
      <c r="T112" s="307"/>
    </row>
    <row r="113" spans="9:20" s="306" customFormat="1" hidden="1" x14ac:dyDescent="0.25">
      <c r="I113" s="306" t="s">
        <v>541</v>
      </c>
      <c r="O113" s="307"/>
      <c r="T113" s="307"/>
    </row>
    <row r="114" spans="9:20" s="306" customFormat="1" hidden="1" x14ac:dyDescent="0.25">
      <c r="I114" s="306" t="s">
        <v>542</v>
      </c>
      <c r="O114" s="307"/>
      <c r="T114" s="307"/>
    </row>
    <row r="115" spans="9:20" s="306" customFormat="1" hidden="1" x14ac:dyDescent="0.25">
      <c r="I115" s="306" t="s">
        <v>543</v>
      </c>
      <c r="O115" s="307"/>
      <c r="T115" s="307"/>
    </row>
    <row r="116" spans="9:20" s="306" customFormat="1" hidden="1" x14ac:dyDescent="0.25">
      <c r="I116" s="306" t="s">
        <v>544</v>
      </c>
      <c r="O116" s="307"/>
      <c r="T116" s="307"/>
    </row>
    <row r="117" spans="9:20" s="306" customFormat="1" hidden="1" x14ac:dyDescent="0.25">
      <c r="I117" s="306" t="s">
        <v>545</v>
      </c>
      <c r="O117" s="307"/>
      <c r="T117" s="307"/>
    </row>
    <row r="118" spans="9:20" s="306" customFormat="1" hidden="1" x14ac:dyDescent="0.25">
      <c r="I118" s="306" t="s">
        <v>546</v>
      </c>
      <c r="O118" s="307"/>
      <c r="T118" s="307"/>
    </row>
    <row r="119" spans="9:20" s="306" customFormat="1" hidden="1" x14ac:dyDescent="0.25">
      <c r="I119" s="306" t="s">
        <v>547</v>
      </c>
      <c r="O119" s="307"/>
      <c r="T119" s="307"/>
    </row>
    <row r="120" spans="9:20" s="306" customFormat="1" hidden="1" x14ac:dyDescent="0.25">
      <c r="I120" s="306" t="s">
        <v>548</v>
      </c>
      <c r="O120" s="307"/>
      <c r="T120" s="307"/>
    </row>
    <row r="121" spans="9:20" s="306" customFormat="1" hidden="1" x14ac:dyDescent="0.25">
      <c r="I121" s="306" t="s">
        <v>549</v>
      </c>
      <c r="O121" s="307"/>
      <c r="T121" s="307"/>
    </row>
    <row r="122" spans="9:20" s="306" customFormat="1" hidden="1" x14ac:dyDescent="0.25">
      <c r="I122" s="306" t="s">
        <v>550</v>
      </c>
      <c r="O122" s="307"/>
      <c r="T122" s="307"/>
    </row>
    <row r="123" spans="9:20" s="306" customFormat="1" hidden="1" x14ac:dyDescent="0.25">
      <c r="I123" s="306" t="s">
        <v>551</v>
      </c>
      <c r="O123" s="307"/>
      <c r="T123" s="307"/>
    </row>
    <row r="124" spans="9:20" s="306" customFormat="1" hidden="1" x14ac:dyDescent="0.25">
      <c r="I124" s="306" t="s">
        <v>552</v>
      </c>
      <c r="O124" s="307"/>
      <c r="T124" s="307"/>
    </row>
    <row r="125" spans="9:20" s="306" customFormat="1" hidden="1" x14ac:dyDescent="0.25">
      <c r="I125" s="306" t="s">
        <v>553</v>
      </c>
      <c r="O125" s="307"/>
      <c r="T125" s="307"/>
    </row>
    <row r="126" spans="9:20" s="306" customFormat="1" hidden="1" x14ac:dyDescent="0.25">
      <c r="I126" s="306" t="s">
        <v>554</v>
      </c>
      <c r="O126" s="307"/>
      <c r="T126" s="307"/>
    </row>
    <row r="127" spans="9:20" s="306" customFormat="1" hidden="1" x14ac:dyDescent="0.25">
      <c r="I127" s="306" t="s">
        <v>555</v>
      </c>
      <c r="O127" s="307"/>
      <c r="T127" s="307"/>
    </row>
    <row r="128" spans="9:20" s="306" customFormat="1" hidden="1" x14ac:dyDescent="0.25">
      <c r="I128" s="306" t="s">
        <v>556</v>
      </c>
      <c r="O128" s="307"/>
      <c r="T128" s="307"/>
    </row>
    <row r="129" spans="9:20" s="306" customFormat="1" hidden="1" x14ac:dyDescent="0.25">
      <c r="I129" s="306" t="s">
        <v>575</v>
      </c>
      <c r="O129" s="307"/>
      <c r="T129" s="307"/>
    </row>
    <row r="130" spans="9:20" s="306" customFormat="1" hidden="1" x14ac:dyDescent="0.25">
      <c r="I130" s="306" t="s">
        <v>576</v>
      </c>
      <c r="O130" s="307"/>
      <c r="T130" s="307"/>
    </row>
    <row r="131" spans="9:20" s="306" customFormat="1" hidden="1" x14ac:dyDescent="0.25">
      <c r="I131" s="306" t="s">
        <v>577</v>
      </c>
      <c r="O131" s="307"/>
      <c r="T131" s="307"/>
    </row>
    <row r="132" spans="9:20" s="306" customFormat="1" hidden="1" x14ac:dyDescent="0.25">
      <c r="I132" s="306" t="s">
        <v>557</v>
      </c>
      <c r="O132" s="307"/>
      <c r="T132" s="307"/>
    </row>
    <row r="133" spans="9:20" s="306" customFormat="1" hidden="1" x14ac:dyDescent="0.25">
      <c r="I133" s="306" t="s">
        <v>558</v>
      </c>
      <c r="O133" s="307"/>
      <c r="T133" s="307"/>
    </row>
    <row r="134" spans="9:20" s="306" customFormat="1" hidden="1" x14ac:dyDescent="0.25">
      <c r="I134" s="306" t="s">
        <v>559</v>
      </c>
      <c r="O134" s="307"/>
      <c r="T134" s="307"/>
    </row>
    <row r="135" spans="9:20" s="306" customFormat="1" hidden="1" x14ac:dyDescent="0.25">
      <c r="I135" s="306" t="s">
        <v>149</v>
      </c>
      <c r="O135" s="307"/>
      <c r="T135" s="307"/>
    </row>
    <row r="136" spans="9:20" s="306" customFormat="1" hidden="1" x14ac:dyDescent="0.25">
      <c r="I136" s="306" t="s">
        <v>149</v>
      </c>
      <c r="O136" s="307"/>
      <c r="T136" s="307"/>
    </row>
    <row r="137" spans="9:20" s="306" customFormat="1" hidden="1" x14ac:dyDescent="0.25">
      <c r="I137" s="306" t="s">
        <v>150</v>
      </c>
      <c r="O137" s="307"/>
      <c r="T137" s="307"/>
    </row>
    <row r="138" spans="9:20" s="306" customFormat="1" hidden="1" x14ac:dyDescent="0.25">
      <c r="I138" s="306" t="s">
        <v>151</v>
      </c>
      <c r="O138" s="307"/>
      <c r="T138" s="307"/>
    </row>
    <row r="139" spans="9:20" s="306" customFormat="1" hidden="1" x14ac:dyDescent="0.25">
      <c r="I139" s="306" t="s">
        <v>152</v>
      </c>
      <c r="O139" s="307"/>
      <c r="T139" s="307"/>
    </row>
    <row r="140" spans="9:20" s="306" customFormat="1" hidden="1" x14ac:dyDescent="0.25">
      <c r="I140" s="306" t="s">
        <v>153</v>
      </c>
      <c r="O140" s="307"/>
      <c r="T140" s="307"/>
    </row>
    <row r="141" spans="9:20" s="306" customFormat="1" hidden="1" x14ac:dyDescent="0.25">
      <c r="I141" s="306" t="s">
        <v>154</v>
      </c>
      <c r="O141" s="307"/>
      <c r="T141" s="307"/>
    </row>
    <row r="142" spans="9:20" s="306" customFormat="1" hidden="1" x14ac:dyDescent="0.25">
      <c r="I142" s="306" t="s">
        <v>155</v>
      </c>
      <c r="O142" s="307"/>
      <c r="T142" s="307"/>
    </row>
    <row r="143" spans="9:20" s="306" customFormat="1" hidden="1" x14ac:dyDescent="0.25">
      <c r="I143" s="306" t="s">
        <v>156</v>
      </c>
      <c r="O143" s="307"/>
      <c r="T143" s="307"/>
    </row>
    <row r="144" spans="9:20" s="306" customFormat="1" hidden="1" x14ac:dyDescent="0.25">
      <c r="I144" s="306" t="s">
        <v>574</v>
      </c>
      <c r="O144" s="307"/>
      <c r="T144" s="307"/>
    </row>
    <row r="145" spans="9:20" s="306" customFormat="1" hidden="1" x14ac:dyDescent="0.25">
      <c r="I145" s="306" t="s">
        <v>573</v>
      </c>
      <c r="O145" s="307"/>
      <c r="T145" s="307"/>
    </row>
    <row r="146" spans="9:20" s="306" customFormat="1" hidden="1" x14ac:dyDescent="0.25">
      <c r="I146" s="306" t="s">
        <v>563</v>
      </c>
      <c r="O146" s="307"/>
      <c r="T146" s="307"/>
    </row>
    <row r="147" spans="9:20" s="306" customFormat="1" hidden="1" x14ac:dyDescent="0.25">
      <c r="I147" s="306" t="s">
        <v>564</v>
      </c>
      <c r="O147" s="307"/>
      <c r="T147" s="307"/>
    </row>
    <row r="148" spans="9:20" s="306" customFormat="1" hidden="1" x14ac:dyDescent="0.25">
      <c r="I148" s="306" t="s">
        <v>565</v>
      </c>
      <c r="O148" s="307"/>
      <c r="T148" s="307"/>
    </row>
    <row r="149" spans="9:20" s="306" customFormat="1" hidden="1" x14ac:dyDescent="0.25">
      <c r="I149" s="306" t="s">
        <v>560</v>
      </c>
      <c r="O149" s="307"/>
      <c r="T149" s="307"/>
    </row>
    <row r="150" spans="9:20" s="306" customFormat="1" hidden="1" x14ac:dyDescent="0.25">
      <c r="I150" s="306" t="s">
        <v>561</v>
      </c>
      <c r="O150" s="307"/>
      <c r="T150" s="307"/>
    </row>
    <row r="151" spans="9:20" s="306" customFormat="1" hidden="1" x14ac:dyDescent="0.25">
      <c r="I151" s="306" t="s">
        <v>562</v>
      </c>
      <c r="O151" s="307"/>
      <c r="T151" s="307"/>
    </row>
    <row r="152" spans="9:20" s="306" customFormat="1" hidden="1" x14ac:dyDescent="0.25">
      <c r="I152" s="306" t="s">
        <v>566</v>
      </c>
      <c r="O152" s="307"/>
      <c r="T152" s="307"/>
    </row>
    <row r="153" spans="9:20" s="306" customFormat="1" hidden="1" x14ac:dyDescent="0.25">
      <c r="I153" s="306" t="s">
        <v>567</v>
      </c>
      <c r="O153" s="307"/>
      <c r="T153" s="307"/>
    </row>
    <row r="154" spans="9:20" s="306" customFormat="1" hidden="1" x14ac:dyDescent="0.25">
      <c r="I154" s="306" t="s">
        <v>568</v>
      </c>
      <c r="O154" s="307"/>
      <c r="T154" s="307"/>
    </row>
    <row r="155" spans="9:20" s="306" customFormat="1" hidden="1" x14ac:dyDescent="0.25">
      <c r="I155" s="306" t="s">
        <v>585</v>
      </c>
      <c r="O155" s="307"/>
      <c r="T155" s="307"/>
    </row>
    <row r="156" spans="9:20" s="306" customFormat="1" hidden="1" x14ac:dyDescent="0.25">
      <c r="I156" s="306" t="s">
        <v>581</v>
      </c>
      <c r="O156" s="307"/>
      <c r="T156" s="307"/>
    </row>
    <row r="157" spans="9:20" s="306" customFormat="1" hidden="1" x14ac:dyDescent="0.25">
      <c r="I157" s="306" t="s">
        <v>582</v>
      </c>
      <c r="O157" s="307"/>
      <c r="T157" s="307"/>
    </row>
    <row r="158" spans="9:20" s="306" customFormat="1" hidden="1" x14ac:dyDescent="0.25">
      <c r="I158" s="306" t="s">
        <v>583</v>
      </c>
      <c r="O158" s="307"/>
      <c r="T158" s="307"/>
    </row>
    <row r="159" spans="9:20" s="306" customFormat="1" hidden="1" x14ac:dyDescent="0.25">
      <c r="I159" s="306" t="s">
        <v>586</v>
      </c>
      <c r="O159" s="307"/>
      <c r="T159" s="307"/>
    </row>
    <row r="160" spans="9:20" s="306" customFormat="1" hidden="1" x14ac:dyDescent="0.25">
      <c r="I160" s="306" t="s">
        <v>587</v>
      </c>
      <c r="O160" s="307"/>
      <c r="T160" s="307"/>
    </row>
    <row r="161" spans="9:20" s="306" customFormat="1" hidden="1" x14ac:dyDescent="0.25">
      <c r="I161" s="306" t="s">
        <v>569</v>
      </c>
      <c r="O161" s="307"/>
      <c r="T161" s="307"/>
    </row>
    <row r="162" spans="9:20" s="306" customFormat="1" hidden="1" x14ac:dyDescent="0.25">
      <c r="I162" s="306" t="s">
        <v>570</v>
      </c>
      <c r="O162" s="307"/>
      <c r="T162" s="307"/>
    </row>
    <row r="163" spans="9:20" s="306" customFormat="1" hidden="1" x14ac:dyDescent="0.25">
      <c r="I163" s="306" t="s">
        <v>571</v>
      </c>
      <c r="O163" s="307"/>
      <c r="T163" s="307"/>
    </row>
    <row r="164" spans="9:20" s="306" customFormat="1" hidden="1" x14ac:dyDescent="0.25">
      <c r="I164" s="306" t="s">
        <v>572</v>
      </c>
      <c r="O164" s="307"/>
      <c r="T164" s="307"/>
    </row>
    <row r="165" spans="9:20" s="306" customFormat="1" hidden="1" x14ac:dyDescent="0.25">
      <c r="I165" s="306" t="s">
        <v>580</v>
      </c>
      <c r="O165" s="307"/>
      <c r="T165" s="307"/>
    </row>
    <row r="166" spans="9:20" s="306" customFormat="1" hidden="1" x14ac:dyDescent="0.25">
      <c r="O166" s="307"/>
      <c r="T166" s="307"/>
    </row>
    <row r="167" spans="9:20" s="306" customFormat="1" hidden="1" x14ac:dyDescent="0.25">
      <c r="O167" s="307"/>
      <c r="T167" s="307"/>
    </row>
    <row r="168" spans="9:20" s="306" customFormat="1" hidden="1" x14ac:dyDescent="0.25">
      <c r="O168" s="307"/>
      <c r="T168" s="307"/>
    </row>
    <row r="169" spans="9:20" s="306" customFormat="1" hidden="1" x14ac:dyDescent="0.25">
      <c r="O169" s="307"/>
      <c r="T169" s="307"/>
    </row>
    <row r="170" spans="9:20" s="306" customFormat="1" hidden="1" x14ac:dyDescent="0.25">
      <c r="O170" s="307"/>
      <c r="T170" s="307"/>
    </row>
    <row r="365" spans="14:14" x14ac:dyDescent="0.25">
      <c r="N365" s="187"/>
    </row>
    <row r="366" spans="14:14" x14ac:dyDescent="0.25">
      <c r="N366" s="187"/>
    </row>
    <row r="367" spans="14:14" x14ac:dyDescent="0.25">
      <c r="N367" s="187"/>
    </row>
    <row r="368" spans="14:14" x14ac:dyDescent="0.25">
      <c r="N368" s="187"/>
    </row>
    <row r="369" spans="13:14" x14ac:dyDescent="0.25">
      <c r="N369" s="187"/>
    </row>
    <row r="370" spans="13:14" x14ac:dyDescent="0.25">
      <c r="N370" s="187"/>
    </row>
    <row r="371" spans="13:14" x14ac:dyDescent="0.25">
      <c r="M371" s="187"/>
      <c r="N371" s="188"/>
    </row>
    <row r="372" spans="13:14" x14ac:dyDescent="0.25">
      <c r="M372" s="187"/>
      <c r="N372" s="188"/>
    </row>
    <row r="373" spans="13:14" x14ac:dyDescent="0.25">
      <c r="M373" s="187"/>
      <c r="N373" s="188"/>
    </row>
    <row r="374" spans="13:14" x14ac:dyDescent="0.25">
      <c r="M374" s="187"/>
      <c r="N374" s="188"/>
    </row>
    <row r="375" spans="13:14" x14ac:dyDescent="0.25">
      <c r="M375" s="187"/>
      <c r="N375" s="188"/>
    </row>
    <row r="376" spans="13:14" x14ac:dyDescent="0.25">
      <c r="M376" s="187"/>
      <c r="N376" s="188"/>
    </row>
    <row r="377" spans="13:14" x14ac:dyDescent="0.25">
      <c r="M377" s="187"/>
      <c r="N377" s="188"/>
    </row>
    <row r="378" spans="13:14" x14ac:dyDescent="0.25">
      <c r="M378" s="187"/>
      <c r="N378" s="188"/>
    </row>
    <row r="379" spans="13:14" x14ac:dyDescent="0.25">
      <c r="M379" s="187"/>
      <c r="N379" s="188"/>
    </row>
    <row r="380" spans="13:14" x14ac:dyDescent="0.25">
      <c r="M380" s="187"/>
      <c r="N380" s="188"/>
    </row>
    <row r="381" spans="13:14" x14ac:dyDescent="0.25">
      <c r="M381" s="187"/>
      <c r="N381" s="188"/>
    </row>
    <row r="382" spans="13:14" x14ac:dyDescent="0.25">
      <c r="M382" s="187"/>
      <c r="N382" s="188"/>
    </row>
    <row r="383" spans="13:14" x14ac:dyDescent="0.25">
      <c r="M383" s="187"/>
      <c r="N383" s="188"/>
    </row>
    <row r="384" spans="13:14" x14ac:dyDescent="0.25">
      <c r="M384" s="187"/>
      <c r="N384" s="188"/>
    </row>
    <row r="385" spans="13:14" x14ac:dyDescent="0.25">
      <c r="M385" s="187"/>
      <c r="N385" s="188"/>
    </row>
    <row r="386" spans="13:14" x14ac:dyDescent="0.25">
      <c r="M386" s="187"/>
      <c r="N386" s="188"/>
    </row>
    <row r="387" spans="13:14" x14ac:dyDescent="0.25">
      <c r="M387" s="187"/>
      <c r="N387" s="188"/>
    </row>
    <row r="388" spans="13:14" x14ac:dyDescent="0.25">
      <c r="M388" s="187"/>
      <c r="N388" s="188"/>
    </row>
    <row r="389" spans="13:14" x14ac:dyDescent="0.25">
      <c r="M389" s="187"/>
      <c r="N389" s="188"/>
    </row>
    <row r="390" spans="13:14" x14ac:dyDescent="0.25">
      <c r="M390" s="187"/>
      <c r="N390" s="188"/>
    </row>
    <row r="391" spans="13:14" x14ac:dyDescent="0.25">
      <c r="M391" s="187"/>
      <c r="N391" s="188"/>
    </row>
    <row r="392" spans="13:14" x14ac:dyDescent="0.25">
      <c r="M392" s="187"/>
      <c r="N392" s="188"/>
    </row>
    <row r="393" spans="13:14" x14ac:dyDescent="0.25">
      <c r="M393" s="187"/>
      <c r="N393" s="188"/>
    </row>
    <row r="394" spans="13:14" x14ac:dyDescent="0.25">
      <c r="M394" s="187"/>
      <c r="N394" s="188"/>
    </row>
    <row r="395" spans="13:14" x14ac:dyDescent="0.25">
      <c r="M395" s="187"/>
      <c r="N395" s="188"/>
    </row>
    <row r="396" spans="13:14" x14ac:dyDescent="0.25">
      <c r="M396" s="187"/>
      <c r="N396" s="188"/>
    </row>
    <row r="397" spans="13:14" x14ac:dyDescent="0.25">
      <c r="M397" s="187"/>
      <c r="N397" s="188"/>
    </row>
    <row r="398" spans="13:14" x14ac:dyDescent="0.25">
      <c r="M398" s="187"/>
      <c r="N398" s="188"/>
    </row>
    <row r="399" spans="13:14" x14ac:dyDescent="0.25">
      <c r="M399" s="187"/>
      <c r="N399" s="188"/>
    </row>
    <row r="400" spans="13:14" x14ac:dyDescent="0.25">
      <c r="M400" s="187"/>
      <c r="N400" s="188"/>
    </row>
    <row r="401" spans="13:14" x14ac:dyDescent="0.25">
      <c r="M401" s="187"/>
      <c r="N401" s="188"/>
    </row>
    <row r="402" spans="13:14" x14ac:dyDescent="0.25">
      <c r="M402" s="187"/>
      <c r="N402" s="188"/>
    </row>
    <row r="403" spans="13:14" x14ac:dyDescent="0.25">
      <c r="M403" s="187"/>
      <c r="N403" s="188"/>
    </row>
    <row r="404" spans="13:14" x14ac:dyDescent="0.25">
      <c r="M404" s="187"/>
      <c r="N404" s="188"/>
    </row>
    <row r="405" spans="13:14" x14ac:dyDescent="0.25">
      <c r="M405" s="187"/>
      <c r="N405" s="188"/>
    </row>
    <row r="406" spans="13:14" x14ac:dyDescent="0.25">
      <c r="M406" s="187"/>
      <c r="N406" s="188"/>
    </row>
    <row r="407" spans="13:14" x14ac:dyDescent="0.25">
      <c r="M407" s="187"/>
      <c r="N407" s="188"/>
    </row>
    <row r="408" spans="13:14" x14ac:dyDescent="0.25">
      <c r="M408" s="187"/>
      <c r="N408" s="188"/>
    </row>
    <row r="409" spans="13:14" x14ac:dyDescent="0.25">
      <c r="M409" s="187"/>
      <c r="N409" s="188"/>
    </row>
    <row r="410" spans="13:14" x14ac:dyDescent="0.25">
      <c r="M410" s="187"/>
      <c r="N410" s="188"/>
    </row>
    <row r="411" spans="13:14" x14ac:dyDescent="0.25">
      <c r="M411" s="187"/>
      <c r="N411" s="188"/>
    </row>
    <row r="412" spans="13:14" x14ac:dyDescent="0.25">
      <c r="M412" s="187"/>
      <c r="N412" s="188"/>
    </row>
    <row r="413" spans="13:14" x14ac:dyDescent="0.25">
      <c r="M413" s="187"/>
      <c r="N413" s="188"/>
    </row>
    <row r="414" spans="13:14" x14ac:dyDescent="0.25">
      <c r="M414" s="187"/>
      <c r="N414" s="188"/>
    </row>
    <row r="415" spans="13:14" x14ac:dyDescent="0.25">
      <c r="M415" s="187"/>
      <c r="N415" s="188"/>
    </row>
    <row r="416" spans="13:14" x14ac:dyDescent="0.25">
      <c r="M416" s="187"/>
      <c r="N416" s="188"/>
    </row>
    <row r="417" spans="1:20" x14ac:dyDescent="0.25">
      <c r="M417" s="187"/>
      <c r="N417" s="188"/>
    </row>
    <row r="418" spans="1:20" x14ac:dyDescent="0.25">
      <c r="M418" s="187"/>
      <c r="N418" s="188"/>
    </row>
    <row r="419" spans="1:20" x14ac:dyDescent="0.25">
      <c r="M419" s="187"/>
      <c r="N419" s="188"/>
    </row>
    <row r="420" spans="1:20" x14ac:dyDescent="0.25">
      <c r="M420" s="187"/>
      <c r="N420" s="188"/>
    </row>
    <row r="421" spans="1:20" x14ac:dyDescent="0.25">
      <c r="A421" s="182" t="s">
        <v>665</v>
      </c>
      <c r="B421" s="182" t="s">
        <v>682</v>
      </c>
      <c r="C421" s="182">
        <v>0.25</v>
      </c>
      <c r="F421" s="182">
        <f>I421*29</f>
        <v>290</v>
      </c>
      <c r="I421" s="182">
        <v>10</v>
      </c>
      <c r="J421" s="182">
        <v>31</v>
      </c>
      <c r="M421" s="182">
        <v>0.245</v>
      </c>
      <c r="N421" s="182">
        <v>0.28499999999999998</v>
      </c>
      <c r="T421" s="189">
        <f>N421*25.4</f>
        <v>7.238999999999999</v>
      </c>
    </row>
    <row r="422" spans="1:20" x14ac:dyDescent="0.25">
      <c r="A422" s="182" t="s">
        <v>665</v>
      </c>
      <c r="B422" s="182" t="s">
        <v>683</v>
      </c>
      <c r="C422" s="182">
        <v>0.3</v>
      </c>
      <c r="F422" s="182">
        <f t="shared" ref="F422:F464" si="1">I422*29</f>
        <v>261</v>
      </c>
      <c r="I422" s="182">
        <v>9</v>
      </c>
      <c r="J422" s="182">
        <v>31</v>
      </c>
      <c r="M422" s="182">
        <v>0.245</v>
      </c>
      <c r="N422" s="182">
        <v>0.28499999999999998</v>
      </c>
      <c r="T422" s="189">
        <f t="shared" ref="T422:T449" si="2">N422*25.4</f>
        <v>7.238999999999999</v>
      </c>
    </row>
    <row r="423" spans="1:20" x14ac:dyDescent="0.25">
      <c r="A423" s="182" t="s">
        <v>665</v>
      </c>
      <c r="B423" s="182" t="s">
        <v>684</v>
      </c>
      <c r="C423" s="182">
        <v>0.35</v>
      </c>
      <c r="F423" s="182">
        <f t="shared" si="1"/>
        <v>232</v>
      </c>
      <c r="I423" s="182">
        <v>8</v>
      </c>
      <c r="J423" s="182">
        <v>31</v>
      </c>
      <c r="M423" s="182">
        <v>0.245</v>
      </c>
      <c r="N423" s="182">
        <v>0.29299999999999998</v>
      </c>
      <c r="T423" s="189">
        <f t="shared" si="2"/>
        <v>7.4421999999999988</v>
      </c>
    </row>
    <row r="424" spans="1:20" x14ac:dyDescent="0.25">
      <c r="A424" s="182" t="s">
        <v>665</v>
      </c>
      <c r="B424" s="182" t="s">
        <v>685</v>
      </c>
      <c r="C424" s="182">
        <v>0.4</v>
      </c>
      <c r="F424" s="182">
        <f t="shared" si="1"/>
        <v>217.5</v>
      </c>
      <c r="I424" s="182">
        <v>7.5</v>
      </c>
      <c r="J424" s="182">
        <v>31</v>
      </c>
      <c r="M424" s="182">
        <v>0.245</v>
      </c>
      <c r="N424" s="182">
        <v>0.29499999999999998</v>
      </c>
      <c r="T424" s="189">
        <f t="shared" si="2"/>
        <v>7.4929999999999994</v>
      </c>
    </row>
    <row r="425" spans="1:20" x14ac:dyDescent="0.25">
      <c r="A425" s="182" t="s">
        <v>665</v>
      </c>
      <c r="B425" s="182" t="s">
        <v>686</v>
      </c>
      <c r="C425" s="182">
        <v>0.5</v>
      </c>
      <c r="F425" s="182">
        <f t="shared" si="1"/>
        <v>188.5</v>
      </c>
      <c r="I425" s="182">
        <v>6.5</v>
      </c>
      <c r="J425" s="182">
        <v>31</v>
      </c>
      <c r="M425" s="182">
        <v>0.245</v>
      </c>
      <c r="N425" s="182">
        <v>0.29899999999999999</v>
      </c>
      <c r="T425" s="189">
        <f t="shared" si="2"/>
        <v>7.5945999999999989</v>
      </c>
    </row>
    <row r="426" spans="1:20" x14ac:dyDescent="0.25">
      <c r="A426" s="182" t="s">
        <v>665</v>
      </c>
      <c r="B426" s="182" t="s">
        <v>687</v>
      </c>
      <c r="C426" s="182">
        <v>0.55000000000000004</v>
      </c>
      <c r="F426" s="182">
        <f t="shared" si="1"/>
        <v>165.3</v>
      </c>
      <c r="I426" s="182">
        <v>5.7</v>
      </c>
      <c r="J426" s="182">
        <v>31</v>
      </c>
      <c r="M426" s="182">
        <v>0.245</v>
      </c>
      <c r="N426" s="182">
        <v>0.30299999999999999</v>
      </c>
      <c r="T426" s="189">
        <f t="shared" si="2"/>
        <v>7.6961999999999993</v>
      </c>
    </row>
    <row r="427" spans="1:20" x14ac:dyDescent="0.25">
      <c r="A427" s="182" t="s">
        <v>665</v>
      </c>
      <c r="B427" s="182" t="s">
        <v>680</v>
      </c>
      <c r="C427" s="182">
        <v>0.27500000000000002</v>
      </c>
      <c r="F427" s="182">
        <f t="shared" si="1"/>
        <v>319</v>
      </c>
      <c r="I427" s="182">
        <v>11</v>
      </c>
      <c r="J427" s="182">
        <v>32</v>
      </c>
      <c r="M427" s="182">
        <v>0.27</v>
      </c>
      <c r="N427" s="182">
        <v>0.34300000000000003</v>
      </c>
      <c r="T427" s="189">
        <f t="shared" si="2"/>
        <v>8.7122000000000011</v>
      </c>
    </row>
    <row r="428" spans="1:20" x14ac:dyDescent="0.25">
      <c r="A428" s="182" t="s">
        <v>665</v>
      </c>
      <c r="B428" s="182" t="s">
        <v>681</v>
      </c>
      <c r="C428" s="182">
        <v>0.375</v>
      </c>
      <c r="F428" s="182">
        <f t="shared" si="1"/>
        <v>284.20000000000005</v>
      </c>
      <c r="I428" s="182">
        <v>9.8000000000000007</v>
      </c>
      <c r="J428" s="182">
        <v>32</v>
      </c>
      <c r="M428" s="182">
        <v>0.27</v>
      </c>
      <c r="N428" s="182">
        <v>0.35</v>
      </c>
      <c r="T428" s="189">
        <f t="shared" si="2"/>
        <v>8.8899999999999988</v>
      </c>
    </row>
    <row r="429" spans="1:20" x14ac:dyDescent="0.25">
      <c r="A429" s="182" t="s">
        <v>665</v>
      </c>
      <c r="B429" s="182" t="s">
        <v>679</v>
      </c>
      <c r="C429" s="182">
        <v>0.17499999999999999</v>
      </c>
      <c r="F429" s="182">
        <f t="shared" si="1"/>
        <v>435</v>
      </c>
      <c r="I429" s="182">
        <v>15</v>
      </c>
      <c r="J429" s="182">
        <v>32</v>
      </c>
      <c r="M429" s="182">
        <v>0.28000000000000003</v>
      </c>
      <c r="N429" s="182">
        <v>0.38</v>
      </c>
      <c r="T429" s="189">
        <f t="shared" si="2"/>
        <v>9.6519999999999992</v>
      </c>
    </row>
    <row r="430" spans="1:20" x14ac:dyDescent="0.25">
      <c r="A430" s="182" t="s">
        <v>665</v>
      </c>
      <c r="B430" s="182" t="s">
        <v>678</v>
      </c>
      <c r="C430" s="182">
        <v>0.2</v>
      </c>
      <c r="F430" s="182">
        <f t="shared" si="1"/>
        <v>371.20000000000005</v>
      </c>
      <c r="I430" s="182">
        <v>12.8</v>
      </c>
      <c r="J430" s="182">
        <v>32</v>
      </c>
      <c r="M430" s="182">
        <v>0.27700000000000002</v>
      </c>
      <c r="N430" s="182">
        <v>0.372</v>
      </c>
      <c r="T430" s="189">
        <f t="shared" si="2"/>
        <v>9.4487999999999985</v>
      </c>
    </row>
    <row r="431" spans="1:20" x14ac:dyDescent="0.25">
      <c r="A431" s="182" t="s">
        <v>665</v>
      </c>
      <c r="B431" s="182" t="s">
        <v>677</v>
      </c>
      <c r="C431" s="182">
        <v>0.32500000000000001</v>
      </c>
      <c r="F431" s="182">
        <f t="shared" si="1"/>
        <v>333.5</v>
      </c>
      <c r="I431" s="182">
        <v>11.5</v>
      </c>
      <c r="J431" s="182">
        <v>32</v>
      </c>
      <c r="M431" s="182">
        <v>0.27400000000000002</v>
      </c>
      <c r="N431" s="182">
        <v>0.36199999999999999</v>
      </c>
      <c r="T431" s="189">
        <f t="shared" si="2"/>
        <v>9.194799999999999</v>
      </c>
    </row>
    <row r="432" spans="1:20" x14ac:dyDescent="0.25">
      <c r="A432" s="182" t="s">
        <v>665</v>
      </c>
      <c r="B432" s="182" t="s">
        <v>666</v>
      </c>
      <c r="C432" s="182">
        <v>0.32500000000000001</v>
      </c>
      <c r="F432" s="182">
        <f t="shared" si="1"/>
        <v>159.5</v>
      </c>
      <c r="I432" s="182">
        <v>5.5</v>
      </c>
      <c r="J432" s="182">
        <v>32</v>
      </c>
      <c r="M432" s="182">
        <v>0.27300000000000002</v>
      </c>
      <c r="N432" s="182">
        <v>0.38500000000000001</v>
      </c>
      <c r="T432" s="189">
        <f t="shared" si="2"/>
        <v>9.7789999999999999</v>
      </c>
    </row>
    <row r="433" spans="1:20" x14ac:dyDescent="0.25">
      <c r="A433" s="182" t="s">
        <v>665</v>
      </c>
      <c r="B433" s="182" t="s">
        <v>668</v>
      </c>
      <c r="C433" s="182">
        <v>0.35</v>
      </c>
      <c r="F433" s="182">
        <f t="shared" si="1"/>
        <v>174</v>
      </c>
      <c r="I433" s="182">
        <v>6</v>
      </c>
      <c r="J433" s="182">
        <v>32</v>
      </c>
      <c r="M433" s="182">
        <v>0.27300000000000002</v>
      </c>
      <c r="N433" s="182">
        <v>0.38500000000000001</v>
      </c>
      <c r="T433" s="189">
        <f t="shared" si="2"/>
        <v>9.7789999999999999</v>
      </c>
    </row>
    <row r="434" spans="1:20" x14ac:dyDescent="0.25">
      <c r="A434" s="182" t="s">
        <v>665</v>
      </c>
      <c r="B434" s="182" t="s">
        <v>667</v>
      </c>
      <c r="C434" s="182">
        <v>0.35</v>
      </c>
      <c r="F434" s="182">
        <f t="shared" si="1"/>
        <v>194.3</v>
      </c>
      <c r="I434" s="182">
        <v>6.7</v>
      </c>
      <c r="J434" s="182">
        <v>32</v>
      </c>
      <c r="M434" s="182">
        <v>0.27300000000000002</v>
      </c>
      <c r="N434" s="182">
        <v>0.38500000000000001</v>
      </c>
      <c r="T434" s="189">
        <f t="shared" si="2"/>
        <v>9.7789999999999999</v>
      </c>
    </row>
    <row r="435" spans="1:20" x14ac:dyDescent="0.25">
      <c r="A435" s="182" t="s">
        <v>665</v>
      </c>
      <c r="B435" s="182" t="s">
        <v>669</v>
      </c>
      <c r="C435" s="182">
        <v>0.35</v>
      </c>
      <c r="F435" s="182">
        <f t="shared" si="1"/>
        <v>203</v>
      </c>
      <c r="I435" s="182">
        <v>7</v>
      </c>
      <c r="J435" s="182">
        <v>32</v>
      </c>
      <c r="M435" s="182">
        <v>0.27300000000000002</v>
      </c>
      <c r="N435" s="182">
        <v>0.38500000000000001</v>
      </c>
      <c r="T435" s="189">
        <f t="shared" si="2"/>
        <v>9.7789999999999999</v>
      </c>
    </row>
    <row r="436" spans="1:20" x14ac:dyDescent="0.25">
      <c r="A436" s="182" t="s">
        <v>665</v>
      </c>
      <c r="B436" s="182" t="s">
        <v>688</v>
      </c>
      <c r="C436" s="182">
        <v>0.45</v>
      </c>
      <c r="F436" s="182">
        <f t="shared" si="1"/>
        <v>188.5</v>
      </c>
      <c r="I436" s="182">
        <v>6.5</v>
      </c>
      <c r="J436" s="182">
        <v>32</v>
      </c>
      <c r="M436" s="182">
        <v>0.22600000000000001</v>
      </c>
      <c r="N436" s="182">
        <v>0.28299999999999997</v>
      </c>
      <c r="T436" s="189">
        <f t="shared" si="2"/>
        <v>7.1881999999999993</v>
      </c>
    </row>
    <row r="437" spans="1:20" x14ac:dyDescent="0.25">
      <c r="A437" s="182" t="s">
        <v>665</v>
      </c>
      <c r="B437" s="182" t="s">
        <v>670</v>
      </c>
      <c r="C437" s="182">
        <v>0.35</v>
      </c>
      <c r="F437" s="182">
        <f t="shared" si="1"/>
        <v>203</v>
      </c>
      <c r="I437" s="182">
        <v>7</v>
      </c>
      <c r="J437" s="182">
        <v>32</v>
      </c>
      <c r="M437" s="182">
        <v>0.22800000000000001</v>
      </c>
      <c r="N437" s="182">
        <v>0.28699999999999998</v>
      </c>
      <c r="T437" s="189">
        <f t="shared" si="2"/>
        <v>7.2897999999999987</v>
      </c>
    </row>
    <row r="438" spans="1:20" x14ac:dyDescent="0.25">
      <c r="A438" s="182" t="s">
        <v>665</v>
      </c>
      <c r="B438" s="182" t="s">
        <v>671</v>
      </c>
      <c r="C438" s="182">
        <v>0.35</v>
      </c>
      <c r="F438" s="182">
        <f t="shared" si="1"/>
        <v>217.5</v>
      </c>
      <c r="I438" s="182">
        <v>7.5</v>
      </c>
      <c r="J438" s="182">
        <v>32</v>
      </c>
      <c r="M438" s="182">
        <v>0.22800000000000001</v>
      </c>
      <c r="N438" s="182">
        <v>0.28799999999999998</v>
      </c>
      <c r="T438" s="189">
        <f t="shared" si="2"/>
        <v>7.315199999999999</v>
      </c>
    </row>
    <row r="439" spans="1:20" x14ac:dyDescent="0.25">
      <c r="A439" s="182" t="s">
        <v>665</v>
      </c>
      <c r="B439" s="182" t="s">
        <v>672</v>
      </c>
      <c r="C439" s="182">
        <v>0.3</v>
      </c>
      <c r="F439" s="182">
        <f t="shared" si="1"/>
        <v>261</v>
      </c>
      <c r="I439" s="182">
        <v>9</v>
      </c>
      <c r="J439" s="182">
        <v>32</v>
      </c>
      <c r="M439" s="182">
        <v>0.23</v>
      </c>
      <c r="N439" s="182">
        <v>0.28999999999999998</v>
      </c>
      <c r="T439" s="189">
        <f t="shared" si="2"/>
        <v>7.3659999999999988</v>
      </c>
    </row>
    <row r="440" spans="1:20" x14ac:dyDescent="0.25">
      <c r="A440" s="182" t="s">
        <v>665</v>
      </c>
      <c r="B440" s="182" t="s">
        <v>673</v>
      </c>
      <c r="C440" s="182">
        <v>0.27500000000000002</v>
      </c>
      <c r="F440" s="182">
        <f t="shared" si="1"/>
        <v>290</v>
      </c>
      <c r="I440" s="182">
        <v>10</v>
      </c>
      <c r="J440" s="182">
        <v>32</v>
      </c>
      <c r="M440" s="182">
        <v>0.23200000000000001</v>
      </c>
      <c r="N440" s="182">
        <v>0.29299999999999998</v>
      </c>
      <c r="T440" s="189">
        <f t="shared" si="2"/>
        <v>7.4421999999999988</v>
      </c>
    </row>
    <row r="441" spans="1:20" x14ac:dyDescent="0.25">
      <c r="A441" s="182" t="s">
        <v>665</v>
      </c>
      <c r="B441" s="182" t="s">
        <v>674</v>
      </c>
      <c r="C441" s="182">
        <v>0.25</v>
      </c>
      <c r="F441" s="182">
        <f t="shared" si="1"/>
        <v>319</v>
      </c>
      <c r="I441" s="182">
        <v>11</v>
      </c>
      <c r="J441" s="182">
        <v>32</v>
      </c>
      <c r="M441" s="182">
        <v>0.23300000000000001</v>
      </c>
      <c r="N441" s="182">
        <v>0.29499999999999998</v>
      </c>
      <c r="T441" s="189">
        <f t="shared" si="2"/>
        <v>7.4929999999999994</v>
      </c>
    </row>
    <row r="442" spans="1:20" x14ac:dyDescent="0.25">
      <c r="A442" s="182" t="s">
        <v>665</v>
      </c>
      <c r="B442" s="182" t="s">
        <v>675</v>
      </c>
      <c r="C442" s="182">
        <v>0.375</v>
      </c>
      <c r="F442" s="182">
        <f t="shared" si="1"/>
        <v>174</v>
      </c>
      <c r="I442" s="182">
        <v>6</v>
      </c>
      <c r="J442" s="182">
        <v>32</v>
      </c>
      <c r="M442" s="182">
        <v>0.252</v>
      </c>
      <c r="N442" s="182">
        <v>0.35699999999999998</v>
      </c>
      <c r="T442" s="189">
        <f t="shared" si="2"/>
        <v>9.0677999999999983</v>
      </c>
    </row>
    <row r="443" spans="1:20" x14ac:dyDescent="0.25">
      <c r="A443" s="182" t="s">
        <v>665</v>
      </c>
      <c r="B443" s="182" t="s">
        <v>676</v>
      </c>
      <c r="C443" s="182">
        <v>0.32500000000000001</v>
      </c>
      <c r="F443" s="182">
        <f t="shared" si="1"/>
        <v>203</v>
      </c>
      <c r="I443" s="182">
        <v>7</v>
      </c>
      <c r="J443" s="182">
        <v>32</v>
      </c>
      <c r="M443" s="182">
        <v>0.252</v>
      </c>
      <c r="N443" s="182">
        <v>0.35699999999999998</v>
      </c>
      <c r="T443" s="189">
        <f t="shared" si="2"/>
        <v>9.0677999999999983</v>
      </c>
    </row>
    <row r="444" spans="1:20" x14ac:dyDescent="0.25">
      <c r="A444" s="182" t="s">
        <v>665</v>
      </c>
      <c r="B444" s="182" t="s">
        <v>689</v>
      </c>
      <c r="C444" s="182">
        <v>0.32500000000000001</v>
      </c>
      <c r="F444" s="182">
        <f t="shared" si="1"/>
        <v>145</v>
      </c>
      <c r="I444" s="182">
        <v>5</v>
      </c>
      <c r="J444" s="182">
        <v>32</v>
      </c>
      <c r="M444" s="182">
        <v>0.26100000000000001</v>
      </c>
      <c r="N444" s="182">
        <v>0.32800000000000001</v>
      </c>
      <c r="T444" s="189">
        <f t="shared" si="2"/>
        <v>8.3311999999999991</v>
      </c>
    </row>
    <row r="445" spans="1:20" x14ac:dyDescent="0.25">
      <c r="A445" s="182" t="s">
        <v>665</v>
      </c>
      <c r="B445" s="182" t="s">
        <v>690</v>
      </c>
      <c r="C445" s="182">
        <v>0.35</v>
      </c>
      <c r="F445" s="182">
        <f t="shared" si="1"/>
        <v>174</v>
      </c>
      <c r="I445" s="182">
        <v>6</v>
      </c>
      <c r="J445" s="182">
        <v>32</v>
      </c>
      <c r="M445" s="182">
        <v>0.26300000000000001</v>
      </c>
      <c r="N445" s="182">
        <v>0.33</v>
      </c>
      <c r="T445" s="189">
        <f t="shared" si="2"/>
        <v>8.3819999999999997</v>
      </c>
    </row>
    <row r="446" spans="1:20" x14ac:dyDescent="0.25">
      <c r="A446" s="182" t="s">
        <v>665</v>
      </c>
      <c r="B446" s="182" t="s">
        <v>691</v>
      </c>
      <c r="C446" s="182">
        <v>0.25</v>
      </c>
      <c r="F446" s="182">
        <f t="shared" si="1"/>
        <v>232</v>
      </c>
      <c r="I446" s="182">
        <v>8</v>
      </c>
      <c r="J446" s="182">
        <v>32</v>
      </c>
      <c r="M446" s="182">
        <v>0.26300000000000001</v>
      </c>
      <c r="N446" s="182">
        <v>0.33600000000000002</v>
      </c>
      <c r="T446" s="189">
        <f t="shared" si="2"/>
        <v>8.5343999999999998</v>
      </c>
    </row>
    <row r="447" spans="1:20" x14ac:dyDescent="0.25">
      <c r="A447" s="182" t="s">
        <v>665</v>
      </c>
      <c r="B447" s="182" t="s">
        <v>692</v>
      </c>
      <c r="C447" s="182">
        <v>0.22500000000000001</v>
      </c>
      <c r="F447" s="182">
        <f t="shared" si="1"/>
        <v>243.60000000000002</v>
      </c>
      <c r="I447" s="182">
        <v>8.4</v>
      </c>
      <c r="J447" s="182">
        <v>32</v>
      </c>
      <c r="M447" s="182">
        <v>0.26300000000000001</v>
      </c>
      <c r="N447" s="182">
        <v>0.33700000000000002</v>
      </c>
      <c r="T447" s="189">
        <f t="shared" si="2"/>
        <v>8.5597999999999992</v>
      </c>
    </row>
    <row r="448" spans="1:20" x14ac:dyDescent="0.25">
      <c r="A448" s="182" t="s">
        <v>665</v>
      </c>
      <c r="B448" s="182" t="s">
        <v>693</v>
      </c>
      <c r="C448" s="182">
        <v>0.22500000000000001</v>
      </c>
      <c r="F448" s="182">
        <f t="shared" si="1"/>
        <v>253.75</v>
      </c>
      <c r="I448" s="182">
        <v>8.75</v>
      </c>
      <c r="J448" s="182">
        <v>32</v>
      </c>
      <c r="M448" s="182">
        <v>0.26300000000000001</v>
      </c>
      <c r="N448" s="182">
        <v>0.33700000000000002</v>
      </c>
      <c r="T448" s="189">
        <f t="shared" si="2"/>
        <v>8.5597999999999992</v>
      </c>
    </row>
    <row r="449" spans="1:20" x14ac:dyDescent="0.25">
      <c r="A449" s="182" t="s">
        <v>665</v>
      </c>
      <c r="B449" s="182" t="s">
        <v>694</v>
      </c>
      <c r="C449" s="182">
        <v>0.2</v>
      </c>
      <c r="F449" s="182">
        <f t="shared" si="1"/>
        <v>290</v>
      </c>
      <c r="I449" s="182">
        <v>10</v>
      </c>
      <c r="J449" s="182">
        <v>32</v>
      </c>
      <c r="M449" s="182">
        <v>0.27</v>
      </c>
      <c r="N449" s="182">
        <v>0.34399999999999997</v>
      </c>
      <c r="T449" s="189">
        <f t="shared" si="2"/>
        <v>8.7375999999999987</v>
      </c>
    </row>
    <row r="450" spans="1:20" x14ac:dyDescent="0.25">
      <c r="F450" s="182">
        <f t="shared" si="1"/>
        <v>0</v>
      </c>
    </row>
    <row r="451" spans="1:20" x14ac:dyDescent="0.25">
      <c r="F451" s="182">
        <f t="shared" si="1"/>
        <v>0</v>
      </c>
    </row>
    <row r="452" spans="1:20" x14ac:dyDescent="0.25">
      <c r="F452" s="182">
        <f t="shared" si="1"/>
        <v>0</v>
      </c>
    </row>
    <row r="453" spans="1:20" x14ac:dyDescent="0.25">
      <c r="F453" s="182">
        <f t="shared" si="1"/>
        <v>0</v>
      </c>
    </row>
    <row r="454" spans="1:20" x14ac:dyDescent="0.25">
      <c r="F454" s="182">
        <f t="shared" si="1"/>
        <v>0</v>
      </c>
    </row>
    <row r="455" spans="1:20" x14ac:dyDescent="0.25">
      <c r="F455" s="182">
        <f t="shared" si="1"/>
        <v>0</v>
      </c>
    </row>
    <row r="456" spans="1:20" x14ac:dyDescent="0.25">
      <c r="F456" s="182">
        <f t="shared" si="1"/>
        <v>0</v>
      </c>
    </row>
    <row r="457" spans="1:20" x14ac:dyDescent="0.25">
      <c r="F457" s="182">
        <f t="shared" si="1"/>
        <v>0</v>
      </c>
    </row>
    <row r="458" spans="1:20" x14ac:dyDescent="0.25">
      <c r="F458" s="182">
        <f t="shared" si="1"/>
        <v>0</v>
      </c>
    </row>
    <row r="459" spans="1:20" x14ac:dyDescent="0.25">
      <c r="F459" s="182">
        <f t="shared" si="1"/>
        <v>0</v>
      </c>
    </row>
    <row r="460" spans="1:20" x14ac:dyDescent="0.25">
      <c r="F460" s="182">
        <f t="shared" si="1"/>
        <v>0</v>
      </c>
    </row>
    <row r="461" spans="1:20" x14ac:dyDescent="0.25">
      <c r="F461" s="182">
        <f t="shared" si="1"/>
        <v>0</v>
      </c>
    </row>
    <row r="462" spans="1:20" x14ac:dyDescent="0.25">
      <c r="F462" s="182">
        <f t="shared" si="1"/>
        <v>0</v>
      </c>
    </row>
    <row r="463" spans="1:20" x14ac:dyDescent="0.25">
      <c r="F463" s="182">
        <f t="shared" si="1"/>
        <v>0</v>
      </c>
    </row>
    <row r="464" spans="1:20" x14ac:dyDescent="0.25">
      <c r="F464" s="182">
        <f t="shared" si="1"/>
        <v>0</v>
      </c>
    </row>
  </sheetData>
  <sheetProtection algorithmName="SHA-512" hashValue="l/O5NxC9sre1/QKhYHi8kNaAaJL+k14UJY6HVkyYP7fPfZf9yBq1/Kttph89K1re6sQ5CGbijjwPR3R4x+4WuA==" saltValue="krKyEZYdOlqTflLPTzLC6Q==" spinCount="100000" sheet="1" objects="1" scenarios="1"/>
  <mergeCells count="1">
    <mergeCell ref="C3:D3"/>
  </mergeCells>
  <hyperlinks>
    <hyperlink ref="C30" r:id="rId1"/>
    <hyperlink ref="E30" r:id="rId2"/>
    <hyperlink ref="K30" r:id="rId3"/>
    <hyperlink ref="Q30" r:id="rId4"/>
    <hyperlink ref="D8" r:id="rId5"/>
    <hyperlink ref="D10" r:id="rId6"/>
    <hyperlink ref="D20" r:id="rId7"/>
    <hyperlink ref="D7" r:id="rId8"/>
    <hyperlink ref="D15" r:id="rId9"/>
    <hyperlink ref="D16" r:id="rId10"/>
    <hyperlink ref="D14" r:id="rId11"/>
    <hyperlink ref="D12" r:id="rId12"/>
    <hyperlink ref="D9" r:id="rId13"/>
    <hyperlink ref="D11" r:id="rId14"/>
    <hyperlink ref="D17" r:id="rId15"/>
    <hyperlink ref="D13" r:id="rId16"/>
  </hyperlinks>
  <pageMargins left="0.70866141732283472" right="0.70866141732283472" top="0.74803149606299213" bottom="0.74803149606299213" header="0.31496062992125984" footer="0.31496062992125984"/>
  <pageSetup paperSize="9" orientation="portrait" horizontalDpi="4294967293" verticalDpi="0" r:id="rId17"/>
  <headerFooter>
    <oddHeader>&amp;A</oddHeader>
    <oddFooter>&amp;LLes Archers du Phénix&amp;R2015</oddFooter>
  </headerFooter>
  <drawing r:id="rId1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U496"/>
  <sheetViews>
    <sheetView showGridLines="0" workbookViewId="0">
      <pane xSplit="5" ySplit="2" topLeftCell="F3" activePane="bottomRight" state="frozen"/>
      <selection activeCell="M31" sqref="M31:N31"/>
      <selection pane="topRight" activeCell="M31" sqref="M31:N31"/>
      <selection pane="bottomLeft" activeCell="M31" sqref="M31:N31"/>
      <selection pane="bottomRight" activeCell="A3" sqref="A3"/>
    </sheetView>
  </sheetViews>
  <sheetFormatPr baseColWidth="10" defaultRowHeight="12.75" x14ac:dyDescent="0.2"/>
  <cols>
    <col min="1" max="1" width="14.28515625" style="72" bestFit="1" customWidth="1"/>
    <col min="2" max="2" width="8" style="72" hidden="1" customWidth="1"/>
    <col min="3" max="3" width="11.85546875" style="72" hidden="1" customWidth="1"/>
    <col min="4" max="4" width="13.5703125" style="72" hidden="1" customWidth="1"/>
    <col min="5" max="5" width="32.7109375" style="243" customWidth="1"/>
    <col min="6" max="11" width="11.42578125" style="243"/>
    <col min="12" max="12" width="15.5703125" style="243" customWidth="1"/>
    <col min="13" max="13" width="1.5703125" style="261" customWidth="1"/>
    <col min="14" max="15" width="11.42578125" style="243"/>
    <col min="16" max="17" width="11.42578125" style="269"/>
    <col min="18" max="18" width="11.42578125" style="238"/>
    <col min="19" max="19" width="11.42578125" style="243"/>
    <col min="20" max="20" width="14.5703125" style="283" bestFit="1" customWidth="1"/>
    <col min="21" max="259" width="11.42578125" style="243"/>
    <col min="260" max="260" width="19.28515625" style="243" bestFit="1" customWidth="1"/>
    <col min="261" max="261" width="15.5703125" style="243" bestFit="1" customWidth="1"/>
    <col min="262" max="267" width="11.42578125" style="243"/>
    <col min="268" max="268" width="15.5703125" style="243" customWidth="1"/>
    <col min="269" max="273" width="11.42578125" style="243"/>
    <col min="274" max="274" width="14.5703125" style="243" bestFit="1" customWidth="1"/>
    <col min="275" max="515" width="11.42578125" style="243"/>
    <col min="516" max="516" width="19.28515625" style="243" bestFit="1" customWidth="1"/>
    <col min="517" max="517" width="15.5703125" style="243" bestFit="1" customWidth="1"/>
    <col min="518" max="523" width="11.42578125" style="243"/>
    <col min="524" max="524" width="15.5703125" style="243" customWidth="1"/>
    <col min="525" max="529" width="11.42578125" style="243"/>
    <col min="530" max="530" width="14.5703125" style="243" bestFit="1" customWidth="1"/>
    <col min="531" max="771" width="11.42578125" style="243"/>
    <col min="772" max="772" width="19.28515625" style="243" bestFit="1" customWidth="1"/>
    <col min="773" max="773" width="15.5703125" style="243" bestFit="1" customWidth="1"/>
    <col min="774" max="779" width="11.42578125" style="243"/>
    <col min="780" max="780" width="15.5703125" style="243" customWidth="1"/>
    <col min="781" max="785" width="11.42578125" style="243"/>
    <col min="786" max="786" width="14.5703125" style="243" bestFit="1" customWidth="1"/>
    <col min="787" max="1027" width="11.42578125" style="243"/>
    <col min="1028" max="1028" width="19.28515625" style="243" bestFit="1" customWidth="1"/>
    <col min="1029" max="1029" width="15.5703125" style="243" bestFit="1" customWidth="1"/>
    <col min="1030" max="1035" width="11.42578125" style="243"/>
    <col min="1036" max="1036" width="15.5703125" style="243" customWidth="1"/>
    <col min="1037" max="1041" width="11.42578125" style="243"/>
    <col min="1042" max="1042" width="14.5703125" style="243" bestFit="1" customWidth="1"/>
    <col min="1043" max="1283" width="11.42578125" style="243"/>
    <col min="1284" max="1284" width="19.28515625" style="243" bestFit="1" customWidth="1"/>
    <col min="1285" max="1285" width="15.5703125" style="243" bestFit="1" customWidth="1"/>
    <col min="1286" max="1291" width="11.42578125" style="243"/>
    <col min="1292" max="1292" width="15.5703125" style="243" customWidth="1"/>
    <col min="1293" max="1297" width="11.42578125" style="243"/>
    <col min="1298" max="1298" width="14.5703125" style="243" bestFit="1" customWidth="1"/>
    <col min="1299" max="1539" width="11.42578125" style="243"/>
    <col min="1540" max="1540" width="19.28515625" style="243" bestFit="1" customWidth="1"/>
    <col min="1541" max="1541" width="15.5703125" style="243" bestFit="1" customWidth="1"/>
    <col min="1542" max="1547" width="11.42578125" style="243"/>
    <col min="1548" max="1548" width="15.5703125" style="243" customWidth="1"/>
    <col min="1549" max="1553" width="11.42578125" style="243"/>
    <col min="1554" max="1554" width="14.5703125" style="243" bestFit="1" customWidth="1"/>
    <col min="1555" max="1795" width="11.42578125" style="243"/>
    <col min="1796" max="1796" width="19.28515625" style="243" bestFit="1" customWidth="1"/>
    <col min="1797" max="1797" width="15.5703125" style="243" bestFit="1" customWidth="1"/>
    <col min="1798" max="1803" width="11.42578125" style="243"/>
    <col min="1804" max="1804" width="15.5703125" style="243" customWidth="1"/>
    <col min="1805" max="1809" width="11.42578125" style="243"/>
    <col min="1810" max="1810" width="14.5703125" style="243" bestFit="1" customWidth="1"/>
    <col min="1811" max="2051" width="11.42578125" style="243"/>
    <col min="2052" max="2052" width="19.28515625" style="243" bestFit="1" customWidth="1"/>
    <col min="2053" max="2053" width="15.5703125" style="243" bestFit="1" customWidth="1"/>
    <col min="2054" max="2059" width="11.42578125" style="243"/>
    <col min="2060" max="2060" width="15.5703125" style="243" customWidth="1"/>
    <col min="2061" max="2065" width="11.42578125" style="243"/>
    <col min="2066" max="2066" width="14.5703125" style="243" bestFit="1" customWidth="1"/>
    <col min="2067" max="2307" width="11.42578125" style="243"/>
    <col min="2308" max="2308" width="19.28515625" style="243" bestFit="1" customWidth="1"/>
    <col min="2309" max="2309" width="15.5703125" style="243" bestFit="1" customWidth="1"/>
    <col min="2310" max="2315" width="11.42578125" style="243"/>
    <col min="2316" max="2316" width="15.5703125" style="243" customWidth="1"/>
    <col min="2317" max="2321" width="11.42578125" style="243"/>
    <col min="2322" max="2322" width="14.5703125" style="243" bestFit="1" customWidth="1"/>
    <col min="2323" max="2563" width="11.42578125" style="243"/>
    <col min="2564" max="2564" width="19.28515625" style="243" bestFit="1" customWidth="1"/>
    <col min="2565" max="2565" width="15.5703125" style="243" bestFit="1" customWidth="1"/>
    <col min="2566" max="2571" width="11.42578125" style="243"/>
    <col min="2572" max="2572" width="15.5703125" style="243" customWidth="1"/>
    <col min="2573" max="2577" width="11.42578125" style="243"/>
    <col min="2578" max="2578" width="14.5703125" style="243" bestFit="1" customWidth="1"/>
    <col min="2579" max="2819" width="11.42578125" style="243"/>
    <col min="2820" max="2820" width="19.28515625" style="243" bestFit="1" customWidth="1"/>
    <col min="2821" max="2821" width="15.5703125" style="243" bestFit="1" customWidth="1"/>
    <col min="2822" max="2827" width="11.42578125" style="243"/>
    <col min="2828" max="2828" width="15.5703125" style="243" customWidth="1"/>
    <col min="2829" max="2833" width="11.42578125" style="243"/>
    <col min="2834" max="2834" width="14.5703125" style="243" bestFit="1" customWidth="1"/>
    <col min="2835" max="3075" width="11.42578125" style="243"/>
    <col min="3076" max="3076" width="19.28515625" style="243" bestFit="1" customWidth="1"/>
    <col min="3077" max="3077" width="15.5703125" style="243" bestFit="1" customWidth="1"/>
    <col min="3078" max="3083" width="11.42578125" style="243"/>
    <col min="3084" max="3084" width="15.5703125" style="243" customWidth="1"/>
    <col min="3085" max="3089" width="11.42578125" style="243"/>
    <col min="3090" max="3090" width="14.5703125" style="243" bestFit="1" customWidth="1"/>
    <col min="3091" max="3331" width="11.42578125" style="243"/>
    <col min="3332" max="3332" width="19.28515625" style="243" bestFit="1" customWidth="1"/>
    <col min="3333" max="3333" width="15.5703125" style="243" bestFit="1" customWidth="1"/>
    <col min="3334" max="3339" width="11.42578125" style="243"/>
    <col min="3340" max="3340" width="15.5703125" style="243" customWidth="1"/>
    <col min="3341" max="3345" width="11.42578125" style="243"/>
    <col min="3346" max="3346" width="14.5703125" style="243" bestFit="1" customWidth="1"/>
    <col min="3347" max="3587" width="11.42578125" style="243"/>
    <col min="3588" max="3588" width="19.28515625" style="243" bestFit="1" customWidth="1"/>
    <col min="3589" max="3589" width="15.5703125" style="243" bestFit="1" customWidth="1"/>
    <col min="3590" max="3595" width="11.42578125" style="243"/>
    <col min="3596" max="3596" width="15.5703125" style="243" customWidth="1"/>
    <col min="3597" max="3601" width="11.42578125" style="243"/>
    <col min="3602" max="3602" width="14.5703125" style="243" bestFit="1" customWidth="1"/>
    <col min="3603" max="3843" width="11.42578125" style="243"/>
    <col min="3844" max="3844" width="19.28515625" style="243" bestFit="1" customWidth="1"/>
    <col min="3845" max="3845" width="15.5703125" style="243" bestFit="1" customWidth="1"/>
    <col min="3846" max="3851" width="11.42578125" style="243"/>
    <col min="3852" max="3852" width="15.5703125" style="243" customWidth="1"/>
    <col min="3853" max="3857" width="11.42578125" style="243"/>
    <col min="3858" max="3858" width="14.5703125" style="243" bestFit="1" customWidth="1"/>
    <col min="3859" max="4099" width="11.42578125" style="243"/>
    <col min="4100" max="4100" width="19.28515625" style="243" bestFit="1" customWidth="1"/>
    <col min="4101" max="4101" width="15.5703125" style="243" bestFit="1" customWidth="1"/>
    <col min="4102" max="4107" width="11.42578125" style="243"/>
    <col min="4108" max="4108" width="15.5703125" style="243" customWidth="1"/>
    <col min="4109" max="4113" width="11.42578125" style="243"/>
    <col min="4114" max="4114" width="14.5703125" style="243" bestFit="1" customWidth="1"/>
    <col min="4115" max="4355" width="11.42578125" style="243"/>
    <col min="4356" max="4356" width="19.28515625" style="243" bestFit="1" customWidth="1"/>
    <col min="4357" max="4357" width="15.5703125" style="243" bestFit="1" customWidth="1"/>
    <col min="4358" max="4363" width="11.42578125" style="243"/>
    <col min="4364" max="4364" width="15.5703125" style="243" customWidth="1"/>
    <col min="4365" max="4369" width="11.42578125" style="243"/>
    <col min="4370" max="4370" width="14.5703125" style="243" bestFit="1" customWidth="1"/>
    <col min="4371" max="4611" width="11.42578125" style="243"/>
    <col min="4612" max="4612" width="19.28515625" style="243" bestFit="1" customWidth="1"/>
    <col min="4613" max="4613" width="15.5703125" style="243" bestFit="1" customWidth="1"/>
    <col min="4614" max="4619" width="11.42578125" style="243"/>
    <col min="4620" max="4620" width="15.5703125" style="243" customWidth="1"/>
    <col min="4621" max="4625" width="11.42578125" style="243"/>
    <col min="4626" max="4626" width="14.5703125" style="243" bestFit="1" customWidth="1"/>
    <col min="4627" max="4867" width="11.42578125" style="243"/>
    <col min="4868" max="4868" width="19.28515625" style="243" bestFit="1" customWidth="1"/>
    <col min="4869" max="4869" width="15.5703125" style="243" bestFit="1" customWidth="1"/>
    <col min="4870" max="4875" width="11.42578125" style="243"/>
    <col min="4876" max="4876" width="15.5703125" style="243" customWidth="1"/>
    <col min="4877" max="4881" width="11.42578125" style="243"/>
    <col min="4882" max="4882" width="14.5703125" style="243" bestFit="1" customWidth="1"/>
    <col min="4883" max="5123" width="11.42578125" style="243"/>
    <col min="5124" max="5124" width="19.28515625" style="243" bestFit="1" customWidth="1"/>
    <col min="5125" max="5125" width="15.5703125" style="243" bestFit="1" customWidth="1"/>
    <col min="5126" max="5131" width="11.42578125" style="243"/>
    <col min="5132" max="5132" width="15.5703125" style="243" customWidth="1"/>
    <col min="5133" max="5137" width="11.42578125" style="243"/>
    <col min="5138" max="5138" width="14.5703125" style="243" bestFit="1" customWidth="1"/>
    <col min="5139" max="5379" width="11.42578125" style="243"/>
    <col min="5380" max="5380" width="19.28515625" style="243" bestFit="1" customWidth="1"/>
    <col min="5381" max="5381" width="15.5703125" style="243" bestFit="1" customWidth="1"/>
    <col min="5382" max="5387" width="11.42578125" style="243"/>
    <col min="5388" max="5388" width="15.5703125" style="243" customWidth="1"/>
    <col min="5389" max="5393" width="11.42578125" style="243"/>
    <col min="5394" max="5394" width="14.5703125" style="243" bestFit="1" customWidth="1"/>
    <col min="5395" max="5635" width="11.42578125" style="243"/>
    <col min="5636" max="5636" width="19.28515625" style="243" bestFit="1" customWidth="1"/>
    <col min="5637" max="5637" width="15.5703125" style="243" bestFit="1" customWidth="1"/>
    <col min="5638" max="5643" width="11.42578125" style="243"/>
    <col min="5644" max="5644" width="15.5703125" style="243" customWidth="1"/>
    <col min="5645" max="5649" width="11.42578125" style="243"/>
    <col min="5650" max="5650" width="14.5703125" style="243" bestFit="1" customWidth="1"/>
    <col min="5651" max="5891" width="11.42578125" style="243"/>
    <col min="5892" max="5892" width="19.28515625" style="243" bestFit="1" customWidth="1"/>
    <col min="5893" max="5893" width="15.5703125" style="243" bestFit="1" customWidth="1"/>
    <col min="5894" max="5899" width="11.42578125" style="243"/>
    <col min="5900" max="5900" width="15.5703125" style="243" customWidth="1"/>
    <col min="5901" max="5905" width="11.42578125" style="243"/>
    <col min="5906" max="5906" width="14.5703125" style="243" bestFit="1" customWidth="1"/>
    <col min="5907" max="6147" width="11.42578125" style="243"/>
    <col min="6148" max="6148" width="19.28515625" style="243" bestFit="1" customWidth="1"/>
    <col min="6149" max="6149" width="15.5703125" style="243" bestFit="1" customWidth="1"/>
    <col min="6150" max="6155" width="11.42578125" style="243"/>
    <col min="6156" max="6156" width="15.5703125" style="243" customWidth="1"/>
    <col min="6157" max="6161" width="11.42578125" style="243"/>
    <col min="6162" max="6162" width="14.5703125" style="243" bestFit="1" customWidth="1"/>
    <col min="6163" max="6403" width="11.42578125" style="243"/>
    <col min="6404" max="6404" width="19.28515625" style="243" bestFit="1" customWidth="1"/>
    <col min="6405" max="6405" width="15.5703125" style="243" bestFit="1" customWidth="1"/>
    <col min="6406" max="6411" width="11.42578125" style="243"/>
    <col min="6412" max="6412" width="15.5703125" style="243" customWidth="1"/>
    <col min="6413" max="6417" width="11.42578125" style="243"/>
    <col min="6418" max="6418" width="14.5703125" style="243" bestFit="1" customWidth="1"/>
    <col min="6419" max="6659" width="11.42578125" style="243"/>
    <col min="6660" max="6660" width="19.28515625" style="243" bestFit="1" customWidth="1"/>
    <col min="6661" max="6661" width="15.5703125" style="243" bestFit="1" customWidth="1"/>
    <col min="6662" max="6667" width="11.42578125" style="243"/>
    <col min="6668" max="6668" width="15.5703125" style="243" customWidth="1"/>
    <col min="6669" max="6673" width="11.42578125" style="243"/>
    <col min="6674" max="6674" width="14.5703125" style="243" bestFit="1" customWidth="1"/>
    <col min="6675" max="6915" width="11.42578125" style="243"/>
    <col min="6916" max="6916" width="19.28515625" style="243" bestFit="1" customWidth="1"/>
    <col min="6917" max="6917" width="15.5703125" style="243" bestFit="1" customWidth="1"/>
    <col min="6918" max="6923" width="11.42578125" style="243"/>
    <col min="6924" max="6924" width="15.5703125" style="243" customWidth="1"/>
    <col min="6925" max="6929" width="11.42578125" style="243"/>
    <col min="6930" max="6930" width="14.5703125" style="243" bestFit="1" customWidth="1"/>
    <col min="6931" max="7171" width="11.42578125" style="243"/>
    <col min="7172" max="7172" width="19.28515625" style="243" bestFit="1" customWidth="1"/>
    <col min="7173" max="7173" width="15.5703125" style="243" bestFit="1" customWidth="1"/>
    <col min="7174" max="7179" width="11.42578125" style="243"/>
    <col min="7180" max="7180" width="15.5703125" style="243" customWidth="1"/>
    <col min="7181" max="7185" width="11.42578125" style="243"/>
    <col min="7186" max="7186" width="14.5703125" style="243" bestFit="1" customWidth="1"/>
    <col min="7187" max="7427" width="11.42578125" style="243"/>
    <col min="7428" max="7428" width="19.28515625" style="243" bestFit="1" customWidth="1"/>
    <col min="7429" max="7429" width="15.5703125" style="243" bestFit="1" customWidth="1"/>
    <col min="7430" max="7435" width="11.42578125" style="243"/>
    <col min="7436" max="7436" width="15.5703125" style="243" customWidth="1"/>
    <col min="7437" max="7441" width="11.42578125" style="243"/>
    <col min="7442" max="7442" width="14.5703125" style="243" bestFit="1" customWidth="1"/>
    <col min="7443" max="7683" width="11.42578125" style="243"/>
    <col min="7684" max="7684" width="19.28515625" style="243" bestFit="1" customWidth="1"/>
    <col min="7685" max="7685" width="15.5703125" style="243" bestFit="1" customWidth="1"/>
    <col min="7686" max="7691" width="11.42578125" style="243"/>
    <col min="7692" max="7692" width="15.5703125" style="243" customWidth="1"/>
    <col min="7693" max="7697" width="11.42578125" style="243"/>
    <col min="7698" max="7698" width="14.5703125" style="243" bestFit="1" customWidth="1"/>
    <col min="7699" max="7939" width="11.42578125" style="243"/>
    <col min="7940" max="7940" width="19.28515625" style="243" bestFit="1" customWidth="1"/>
    <col min="7941" max="7941" width="15.5703125" style="243" bestFit="1" customWidth="1"/>
    <col min="7942" max="7947" width="11.42578125" style="243"/>
    <col min="7948" max="7948" width="15.5703125" style="243" customWidth="1"/>
    <col min="7949" max="7953" width="11.42578125" style="243"/>
    <col min="7954" max="7954" width="14.5703125" style="243" bestFit="1" customWidth="1"/>
    <col min="7955" max="8195" width="11.42578125" style="243"/>
    <col min="8196" max="8196" width="19.28515625" style="243" bestFit="1" customWidth="1"/>
    <col min="8197" max="8197" width="15.5703125" style="243" bestFit="1" customWidth="1"/>
    <col min="8198" max="8203" width="11.42578125" style="243"/>
    <col min="8204" max="8204" width="15.5703125" style="243" customWidth="1"/>
    <col min="8205" max="8209" width="11.42578125" style="243"/>
    <col min="8210" max="8210" width="14.5703125" style="243" bestFit="1" customWidth="1"/>
    <col min="8211" max="8451" width="11.42578125" style="243"/>
    <col min="8452" max="8452" width="19.28515625" style="243" bestFit="1" customWidth="1"/>
    <col min="8453" max="8453" width="15.5703125" style="243" bestFit="1" customWidth="1"/>
    <col min="8454" max="8459" width="11.42578125" style="243"/>
    <col min="8460" max="8460" width="15.5703125" style="243" customWidth="1"/>
    <col min="8461" max="8465" width="11.42578125" style="243"/>
    <col min="8466" max="8466" width="14.5703125" style="243" bestFit="1" customWidth="1"/>
    <col min="8467" max="8707" width="11.42578125" style="243"/>
    <col min="8708" max="8708" width="19.28515625" style="243" bestFit="1" customWidth="1"/>
    <col min="8709" max="8709" width="15.5703125" style="243" bestFit="1" customWidth="1"/>
    <col min="8710" max="8715" width="11.42578125" style="243"/>
    <col min="8716" max="8716" width="15.5703125" style="243" customWidth="1"/>
    <col min="8717" max="8721" width="11.42578125" style="243"/>
    <col min="8722" max="8722" width="14.5703125" style="243" bestFit="1" customWidth="1"/>
    <col min="8723" max="8963" width="11.42578125" style="243"/>
    <col min="8964" max="8964" width="19.28515625" style="243" bestFit="1" customWidth="1"/>
    <col min="8965" max="8965" width="15.5703125" style="243" bestFit="1" customWidth="1"/>
    <col min="8966" max="8971" width="11.42578125" style="243"/>
    <col min="8972" max="8972" width="15.5703125" style="243" customWidth="1"/>
    <col min="8973" max="8977" width="11.42578125" style="243"/>
    <col min="8978" max="8978" width="14.5703125" style="243" bestFit="1" customWidth="1"/>
    <col min="8979" max="9219" width="11.42578125" style="243"/>
    <col min="9220" max="9220" width="19.28515625" style="243" bestFit="1" customWidth="1"/>
    <col min="9221" max="9221" width="15.5703125" style="243" bestFit="1" customWidth="1"/>
    <col min="9222" max="9227" width="11.42578125" style="243"/>
    <col min="9228" max="9228" width="15.5703125" style="243" customWidth="1"/>
    <col min="9229" max="9233" width="11.42578125" style="243"/>
    <col min="9234" max="9234" width="14.5703125" style="243" bestFit="1" customWidth="1"/>
    <col min="9235" max="9475" width="11.42578125" style="243"/>
    <col min="9476" max="9476" width="19.28515625" style="243" bestFit="1" customWidth="1"/>
    <col min="9477" max="9477" width="15.5703125" style="243" bestFit="1" customWidth="1"/>
    <col min="9478" max="9483" width="11.42578125" style="243"/>
    <col min="9484" max="9484" width="15.5703125" style="243" customWidth="1"/>
    <col min="9485" max="9489" width="11.42578125" style="243"/>
    <col min="9490" max="9490" width="14.5703125" style="243" bestFit="1" customWidth="1"/>
    <col min="9491" max="9731" width="11.42578125" style="243"/>
    <col min="9732" max="9732" width="19.28515625" style="243" bestFit="1" customWidth="1"/>
    <col min="9733" max="9733" width="15.5703125" style="243" bestFit="1" customWidth="1"/>
    <col min="9734" max="9739" width="11.42578125" style="243"/>
    <col min="9740" max="9740" width="15.5703125" style="243" customWidth="1"/>
    <col min="9741" max="9745" width="11.42578125" style="243"/>
    <col min="9746" max="9746" width="14.5703125" style="243" bestFit="1" customWidth="1"/>
    <col min="9747" max="9987" width="11.42578125" style="243"/>
    <col min="9988" max="9988" width="19.28515625" style="243" bestFit="1" customWidth="1"/>
    <col min="9989" max="9989" width="15.5703125" style="243" bestFit="1" customWidth="1"/>
    <col min="9990" max="9995" width="11.42578125" style="243"/>
    <col min="9996" max="9996" width="15.5703125" style="243" customWidth="1"/>
    <col min="9997" max="10001" width="11.42578125" style="243"/>
    <col min="10002" max="10002" width="14.5703125" style="243" bestFit="1" customWidth="1"/>
    <col min="10003" max="10243" width="11.42578125" style="243"/>
    <col min="10244" max="10244" width="19.28515625" style="243" bestFit="1" customWidth="1"/>
    <col min="10245" max="10245" width="15.5703125" style="243" bestFit="1" customWidth="1"/>
    <col min="10246" max="10251" width="11.42578125" style="243"/>
    <col min="10252" max="10252" width="15.5703125" style="243" customWidth="1"/>
    <col min="10253" max="10257" width="11.42578125" style="243"/>
    <col min="10258" max="10258" width="14.5703125" style="243" bestFit="1" customWidth="1"/>
    <col min="10259" max="10499" width="11.42578125" style="243"/>
    <col min="10500" max="10500" width="19.28515625" style="243" bestFit="1" customWidth="1"/>
    <col min="10501" max="10501" width="15.5703125" style="243" bestFit="1" customWidth="1"/>
    <col min="10502" max="10507" width="11.42578125" style="243"/>
    <col min="10508" max="10508" width="15.5703125" style="243" customWidth="1"/>
    <col min="10509" max="10513" width="11.42578125" style="243"/>
    <col min="10514" max="10514" width="14.5703125" style="243" bestFit="1" customWidth="1"/>
    <col min="10515" max="10755" width="11.42578125" style="243"/>
    <col min="10756" max="10756" width="19.28515625" style="243" bestFit="1" customWidth="1"/>
    <col min="10757" max="10757" width="15.5703125" style="243" bestFit="1" customWidth="1"/>
    <col min="10758" max="10763" width="11.42578125" style="243"/>
    <col min="10764" max="10764" width="15.5703125" style="243" customWidth="1"/>
    <col min="10765" max="10769" width="11.42578125" style="243"/>
    <col min="10770" max="10770" width="14.5703125" style="243" bestFit="1" customWidth="1"/>
    <col min="10771" max="11011" width="11.42578125" style="243"/>
    <col min="11012" max="11012" width="19.28515625" style="243" bestFit="1" customWidth="1"/>
    <col min="11013" max="11013" width="15.5703125" style="243" bestFit="1" customWidth="1"/>
    <col min="11014" max="11019" width="11.42578125" style="243"/>
    <col min="11020" max="11020" width="15.5703125" style="243" customWidth="1"/>
    <col min="11021" max="11025" width="11.42578125" style="243"/>
    <col min="11026" max="11026" width="14.5703125" style="243" bestFit="1" customWidth="1"/>
    <col min="11027" max="11267" width="11.42578125" style="243"/>
    <col min="11268" max="11268" width="19.28515625" style="243" bestFit="1" customWidth="1"/>
    <col min="11269" max="11269" width="15.5703125" style="243" bestFit="1" customWidth="1"/>
    <col min="11270" max="11275" width="11.42578125" style="243"/>
    <col min="11276" max="11276" width="15.5703125" style="243" customWidth="1"/>
    <col min="11277" max="11281" width="11.42578125" style="243"/>
    <col min="11282" max="11282" width="14.5703125" style="243" bestFit="1" customWidth="1"/>
    <col min="11283" max="11523" width="11.42578125" style="243"/>
    <col min="11524" max="11524" width="19.28515625" style="243" bestFit="1" customWidth="1"/>
    <col min="11525" max="11525" width="15.5703125" style="243" bestFit="1" customWidth="1"/>
    <col min="11526" max="11531" width="11.42578125" style="243"/>
    <col min="11532" max="11532" width="15.5703125" style="243" customWidth="1"/>
    <col min="11533" max="11537" width="11.42578125" style="243"/>
    <col min="11538" max="11538" width="14.5703125" style="243" bestFit="1" customWidth="1"/>
    <col min="11539" max="11779" width="11.42578125" style="243"/>
    <col min="11780" max="11780" width="19.28515625" style="243" bestFit="1" customWidth="1"/>
    <col min="11781" max="11781" width="15.5703125" style="243" bestFit="1" customWidth="1"/>
    <col min="11782" max="11787" width="11.42578125" style="243"/>
    <col min="11788" max="11788" width="15.5703125" style="243" customWidth="1"/>
    <col min="11789" max="11793" width="11.42578125" style="243"/>
    <col min="11794" max="11794" width="14.5703125" style="243" bestFit="1" customWidth="1"/>
    <col min="11795" max="12035" width="11.42578125" style="243"/>
    <col min="12036" max="12036" width="19.28515625" style="243" bestFit="1" customWidth="1"/>
    <col min="12037" max="12037" width="15.5703125" style="243" bestFit="1" customWidth="1"/>
    <col min="12038" max="12043" width="11.42578125" style="243"/>
    <col min="12044" max="12044" width="15.5703125" style="243" customWidth="1"/>
    <col min="12045" max="12049" width="11.42578125" style="243"/>
    <col min="12050" max="12050" width="14.5703125" style="243" bestFit="1" customWidth="1"/>
    <col min="12051" max="12291" width="11.42578125" style="243"/>
    <col min="12292" max="12292" width="19.28515625" style="243" bestFit="1" customWidth="1"/>
    <col min="12293" max="12293" width="15.5703125" style="243" bestFit="1" customWidth="1"/>
    <col min="12294" max="12299" width="11.42578125" style="243"/>
    <col min="12300" max="12300" width="15.5703125" style="243" customWidth="1"/>
    <col min="12301" max="12305" width="11.42578125" style="243"/>
    <col min="12306" max="12306" width="14.5703125" style="243" bestFit="1" customWidth="1"/>
    <col min="12307" max="12547" width="11.42578125" style="243"/>
    <col min="12548" max="12548" width="19.28515625" style="243" bestFit="1" customWidth="1"/>
    <col min="12549" max="12549" width="15.5703125" style="243" bestFit="1" customWidth="1"/>
    <col min="12550" max="12555" width="11.42578125" style="243"/>
    <col min="12556" max="12556" width="15.5703125" style="243" customWidth="1"/>
    <col min="12557" max="12561" width="11.42578125" style="243"/>
    <col min="12562" max="12562" width="14.5703125" style="243" bestFit="1" customWidth="1"/>
    <col min="12563" max="12803" width="11.42578125" style="243"/>
    <col min="12804" max="12804" width="19.28515625" style="243" bestFit="1" customWidth="1"/>
    <col min="12805" max="12805" width="15.5703125" style="243" bestFit="1" customWidth="1"/>
    <col min="12806" max="12811" width="11.42578125" style="243"/>
    <col min="12812" max="12812" width="15.5703125" style="243" customWidth="1"/>
    <col min="12813" max="12817" width="11.42578125" style="243"/>
    <col min="12818" max="12818" width="14.5703125" style="243" bestFit="1" customWidth="1"/>
    <col min="12819" max="13059" width="11.42578125" style="243"/>
    <col min="13060" max="13060" width="19.28515625" style="243" bestFit="1" customWidth="1"/>
    <col min="13061" max="13061" width="15.5703125" style="243" bestFit="1" customWidth="1"/>
    <col min="13062" max="13067" width="11.42578125" style="243"/>
    <col min="13068" max="13068" width="15.5703125" style="243" customWidth="1"/>
    <col min="13069" max="13073" width="11.42578125" style="243"/>
    <col min="13074" max="13074" width="14.5703125" style="243" bestFit="1" customWidth="1"/>
    <col min="13075" max="13315" width="11.42578125" style="243"/>
    <col min="13316" max="13316" width="19.28515625" style="243" bestFit="1" customWidth="1"/>
    <col min="13317" max="13317" width="15.5703125" style="243" bestFit="1" customWidth="1"/>
    <col min="13318" max="13323" width="11.42578125" style="243"/>
    <col min="13324" max="13324" width="15.5703125" style="243" customWidth="1"/>
    <col min="13325" max="13329" width="11.42578125" style="243"/>
    <col min="13330" max="13330" width="14.5703125" style="243" bestFit="1" customWidth="1"/>
    <col min="13331" max="13571" width="11.42578125" style="243"/>
    <col min="13572" max="13572" width="19.28515625" style="243" bestFit="1" customWidth="1"/>
    <col min="13573" max="13573" width="15.5703125" style="243" bestFit="1" customWidth="1"/>
    <col min="13574" max="13579" width="11.42578125" style="243"/>
    <col min="13580" max="13580" width="15.5703125" style="243" customWidth="1"/>
    <col min="13581" max="13585" width="11.42578125" style="243"/>
    <col min="13586" max="13586" width="14.5703125" style="243" bestFit="1" customWidth="1"/>
    <col min="13587" max="13827" width="11.42578125" style="243"/>
    <col min="13828" max="13828" width="19.28515625" style="243" bestFit="1" customWidth="1"/>
    <col min="13829" max="13829" width="15.5703125" style="243" bestFit="1" customWidth="1"/>
    <col min="13830" max="13835" width="11.42578125" style="243"/>
    <col min="13836" max="13836" width="15.5703125" style="243" customWidth="1"/>
    <col min="13837" max="13841" width="11.42578125" style="243"/>
    <col min="13842" max="13842" width="14.5703125" style="243" bestFit="1" customWidth="1"/>
    <col min="13843" max="14083" width="11.42578125" style="243"/>
    <col min="14084" max="14084" width="19.28515625" style="243" bestFit="1" customWidth="1"/>
    <col min="14085" max="14085" width="15.5703125" style="243" bestFit="1" customWidth="1"/>
    <col min="14086" max="14091" width="11.42578125" style="243"/>
    <col min="14092" max="14092" width="15.5703125" style="243" customWidth="1"/>
    <col min="14093" max="14097" width="11.42578125" style="243"/>
    <col min="14098" max="14098" width="14.5703125" style="243" bestFit="1" customWidth="1"/>
    <col min="14099" max="14339" width="11.42578125" style="243"/>
    <col min="14340" max="14340" width="19.28515625" style="243" bestFit="1" customWidth="1"/>
    <col min="14341" max="14341" width="15.5703125" style="243" bestFit="1" customWidth="1"/>
    <col min="14342" max="14347" width="11.42578125" style="243"/>
    <col min="14348" max="14348" width="15.5703125" style="243" customWidth="1"/>
    <col min="14349" max="14353" width="11.42578125" style="243"/>
    <col min="14354" max="14354" width="14.5703125" style="243" bestFit="1" customWidth="1"/>
    <col min="14355" max="14595" width="11.42578125" style="243"/>
    <col min="14596" max="14596" width="19.28515625" style="243" bestFit="1" customWidth="1"/>
    <col min="14597" max="14597" width="15.5703125" style="243" bestFit="1" customWidth="1"/>
    <col min="14598" max="14603" width="11.42578125" style="243"/>
    <col min="14604" max="14604" width="15.5703125" style="243" customWidth="1"/>
    <col min="14605" max="14609" width="11.42578125" style="243"/>
    <col min="14610" max="14610" width="14.5703125" style="243" bestFit="1" customWidth="1"/>
    <col min="14611" max="14851" width="11.42578125" style="243"/>
    <col min="14852" max="14852" width="19.28515625" style="243" bestFit="1" customWidth="1"/>
    <col min="14853" max="14853" width="15.5703125" style="243" bestFit="1" customWidth="1"/>
    <col min="14854" max="14859" width="11.42578125" style="243"/>
    <col min="14860" max="14860" width="15.5703125" style="243" customWidth="1"/>
    <col min="14861" max="14865" width="11.42578125" style="243"/>
    <col min="14866" max="14866" width="14.5703125" style="243" bestFit="1" customWidth="1"/>
    <col min="14867" max="15107" width="11.42578125" style="243"/>
    <col min="15108" max="15108" width="19.28515625" style="243" bestFit="1" customWidth="1"/>
    <col min="15109" max="15109" width="15.5703125" style="243" bestFit="1" customWidth="1"/>
    <col min="15110" max="15115" width="11.42578125" style="243"/>
    <col min="15116" max="15116" width="15.5703125" style="243" customWidth="1"/>
    <col min="15117" max="15121" width="11.42578125" style="243"/>
    <col min="15122" max="15122" width="14.5703125" style="243" bestFit="1" customWidth="1"/>
    <col min="15123" max="15363" width="11.42578125" style="243"/>
    <col min="15364" max="15364" width="19.28515625" style="243" bestFit="1" customWidth="1"/>
    <col min="15365" max="15365" width="15.5703125" style="243" bestFit="1" customWidth="1"/>
    <col min="15366" max="15371" width="11.42578125" style="243"/>
    <col min="15372" max="15372" width="15.5703125" style="243" customWidth="1"/>
    <col min="15373" max="15377" width="11.42578125" style="243"/>
    <col min="15378" max="15378" width="14.5703125" style="243" bestFit="1" customWidth="1"/>
    <col min="15379" max="15619" width="11.42578125" style="243"/>
    <col min="15620" max="15620" width="19.28515625" style="243" bestFit="1" customWidth="1"/>
    <col min="15621" max="15621" width="15.5703125" style="243" bestFit="1" customWidth="1"/>
    <col min="15622" max="15627" width="11.42578125" style="243"/>
    <col min="15628" max="15628" width="15.5703125" style="243" customWidth="1"/>
    <col min="15629" max="15633" width="11.42578125" style="243"/>
    <col min="15634" max="15634" width="14.5703125" style="243" bestFit="1" customWidth="1"/>
    <col min="15635" max="15875" width="11.42578125" style="243"/>
    <col min="15876" max="15876" width="19.28515625" style="243" bestFit="1" customWidth="1"/>
    <col min="15877" max="15877" width="15.5703125" style="243" bestFit="1" customWidth="1"/>
    <col min="15878" max="15883" width="11.42578125" style="243"/>
    <col min="15884" max="15884" width="15.5703125" style="243" customWidth="1"/>
    <col min="15885" max="15889" width="11.42578125" style="243"/>
    <col min="15890" max="15890" width="14.5703125" style="243" bestFit="1" customWidth="1"/>
    <col min="15891" max="16131" width="11.42578125" style="243"/>
    <col min="16132" max="16132" width="19.28515625" style="243" bestFit="1" customWidth="1"/>
    <col min="16133" max="16133" width="15.5703125" style="243" bestFit="1" customWidth="1"/>
    <col min="16134" max="16139" width="11.42578125" style="243"/>
    <col min="16140" max="16140" width="15.5703125" style="243" customWidth="1"/>
    <col min="16141" max="16145" width="11.42578125" style="243"/>
    <col min="16146" max="16146" width="14.5703125" style="243" bestFit="1" customWidth="1"/>
    <col min="16147" max="16384" width="11.42578125" style="243"/>
  </cols>
  <sheetData>
    <row r="1" spans="1:21" s="236" customFormat="1" ht="3.75" customHeight="1" thickBot="1" x14ac:dyDescent="0.25">
      <c r="A1" s="234"/>
      <c r="B1" s="234"/>
      <c r="C1" s="234"/>
      <c r="D1" s="234"/>
      <c r="E1" s="234"/>
      <c r="F1" s="235"/>
      <c r="G1" s="235"/>
      <c r="H1" s="235"/>
      <c r="I1" s="235"/>
      <c r="J1" s="235"/>
      <c r="K1" s="235"/>
      <c r="L1" s="235"/>
      <c r="M1" s="287"/>
      <c r="O1" s="235"/>
      <c r="P1" s="237"/>
      <c r="Q1" s="238"/>
      <c r="R1" s="238"/>
      <c r="S1" s="235"/>
      <c r="T1" s="281"/>
    </row>
    <row r="2" spans="1:21" s="242" customFormat="1" ht="38.25" x14ac:dyDescent="0.25">
      <c r="A2" s="239" t="s">
        <v>120</v>
      </c>
      <c r="B2" s="240" t="s">
        <v>763</v>
      </c>
      <c r="C2" s="240" t="s">
        <v>13</v>
      </c>
      <c r="D2" s="240" t="s">
        <v>781</v>
      </c>
      <c r="E2" s="240" t="s">
        <v>20</v>
      </c>
      <c r="F2" s="240" t="s">
        <v>790</v>
      </c>
      <c r="G2" s="240" t="s">
        <v>789</v>
      </c>
      <c r="H2" s="240" t="s">
        <v>793</v>
      </c>
      <c r="I2" s="240" t="s">
        <v>121</v>
      </c>
      <c r="J2" s="240" t="s">
        <v>122</v>
      </c>
      <c r="K2" s="240" t="s">
        <v>123</v>
      </c>
      <c r="L2" s="241" t="s">
        <v>344</v>
      </c>
      <c r="M2" s="288"/>
      <c r="N2" s="239" t="s">
        <v>428</v>
      </c>
      <c r="O2" s="240" t="s">
        <v>427</v>
      </c>
      <c r="P2" s="240" t="s">
        <v>332</v>
      </c>
      <c r="Q2" s="240" t="s">
        <v>699</v>
      </c>
      <c r="R2" s="240" t="s">
        <v>792</v>
      </c>
      <c r="S2" s="240" t="s">
        <v>190</v>
      </c>
      <c r="T2" s="282" t="s">
        <v>328</v>
      </c>
      <c r="U2" s="240" t="s">
        <v>329</v>
      </c>
    </row>
    <row r="3" spans="1:21" x14ac:dyDescent="0.2">
      <c r="A3" s="195" t="s">
        <v>745</v>
      </c>
      <c r="B3" s="196"/>
      <c r="C3" s="196"/>
      <c r="D3" s="196"/>
      <c r="E3" s="197" t="s">
        <v>124</v>
      </c>
      <c r="F3" s="198">
        <f t="shared" ref="F3" si="0">G3/0.825</f>
        <v>0.49696969696969695</v>
      </c>
      <c r="G3" s="198">
        <f>'Fiche Matériel Archer'!E54</f>
        <v>0.41</v>
      </c>
      <c r="H3" s="199">
        <f>'Fiche Matériel Archer'!F54</f>
        <v>63.41463414634147</v>
      </c>
      <c r="I3" s="200">
        <f>29*K3</f>
        <v>205.89999999999998</v>
      </c>
      <c r="J3" s="200">
        <f>'Fiche Matériel Archer'!H54</f>
        <v>20</v>
      </c>
      <c r="K3" s="201">
        <f>'Fiche Matériel Archer'!G54</f>
        <v>7.1</v>
      </c>
      <c r="L3" s="202"/>
      <c r="N3" s="244"/>
      <c r="O3" s="245"/>
      <c r="P3" s="243"/>
      <c r="Q3" s="246"/>
      <c r="R3" s="279"/>
      <c r="S3" s="247"/>
      <c r="T3" s="280"/>
      <c r="U3" s="247"/>
    </row>
    <row r="4" spans="1:21" x14ac:dyDescent="0.2">
      <c r="A4" s="195" t="s">
        <v>746</v>
      </c>
      <c r="B4" s="196"/>
      <c r="C4" s="196"/>
      <c r="D4" s="196"/>
      <c r="E4" s="197" t="s">
        <v>743</v>
      </c>
      <c r="F4" s="198">
        <f>G4/0.825</f>
        <v>0.48484848484848492</v>
      </c>
      <c r="G4" s="198">
        <f>DSC!$F$19</f>
        <v>0.4</v>
      </c>
      <c r="H4" s="199">
        <f>DSC!$G$19</f>
        <v>65</v>
      </c>
      <c r="I4" s="200">
        <f>29*K4</f>
        <v>205.89999999999998</v>
      </c>
      <c r="J4" s="200">
        <f>DSC!$I$19</f>
        <v>20</v>
      </c>
      <c r="K4" s="201">
        <f>DSC!$H$19</f>
        <v>7.1</v>
      </c>
      <c r="L4" s="202"/>
      <c r="N4" s="244"/>
      <c r="O4" s="245"/>
      <c r="P4" s="246"/>
      <c r="Q4" s="246"/>
      <c r="R4" s="279"/>
      <c r="S4" s="247"/>
      <c r="T4" s="280"/>
      <c r="U4" s="247"/>
    </row>
    <row r="5" spans="1:21" x14ac:dyDescent="0.2">
      <c r="A5" s="203" t="s">
        <v>665</v>
      </c>
      <c r="B5" s="204"/>
      <c r="C5" s="204"/>
      <c r="D5" s="204"/>
      <c r="E5" s="211" t="s">
        <v>669</v>
      </c>
      <c r="F5" s="206">
        <v>0.35</v>
      </c>
      <c r="G5" s="207">
        <f t="shared" ref="G5:G33" si="1">F5*0.825</f>
        <v>0.28874999999999995</v>
      </c>
      <c r="H5" s="208">
        <f t="shared" ref="H5:H68" si="2">26/G5</f>
        <v>90.043290043290057</v>
      </c>
      <c r="I5" s="209">
        <f t="shared" ref="I5:I36" si="3">K5*29</f>
        <v>203</v>
      </c>
      <c r="J5" s="270">
        <f t="shared" ref="J5:J36" si="4">ROUND(P5,0)</f>
        <v>25</v>
      </c>
      <c r="K5" s="210">
        <v>7</v>
      </c>
      <c r="L5" s="271">
        <v>32</v>
      </c>
      <c r="N5" s="248">
        <v>0.27300000000000002</v>
      </c>
      <c r="O5" s="247">
        <v>0.38500000000000001</v>
      </c>
      <c r="P5" s="249">
        <f>IF(O5&lt;&gt;"",MROUND(O5*64,Param_DSC!$C$60),"")</f>
        <v>24.5</v>
      </c>
      <c r="Q5" s="249">
        <f t="shared" ref="Q5:Q36" si="5">IF(O5&lt;&gt;"",O5*25.4,"")</f>
        <v>9.7789999999999999</v>
      </c>
      <c r="R5" s="249">
        <f t="shared" ref="R5:R32" si="6">L5*25.4</f>
        <v>812.8</v>
      </c>
      <c r="S5" s="247"/>
      <c r="T5" s="280"/>
      <c r="U5" s="247"/>
    </row>
    <row r="6" spans="1:21" x14ac:dyDescent="0.2">
      <c r="A6" s="203" t="s">
        <v>665</v>
      </c>
      <c r="B6" s="204"/>
      <c r="C6" s="204"/>
      <c r="D6" s="204"/>
      <c r="E6" s="211" t="s">
        <v>668</v>
      </c>
      <c r="F6" s="206">
        <v>0.35</v>
      </c>
      <c r="G6" s="207">
        <f t="shared" si="1"/>
        <v>0.28874999999999995</v>
      </c>
      <c r="H6" s="208">
        <f t="shared" si="2"/>
        <v>90.043290043290057</v>
      </c>
      <c r="I6" s="209">
        <f t="shared" si="3"/>
        <v>174</v>
      </c>
      <c r="J6" s="270">
        <f t="shared" si="4"/>
        <v>25</v>
      </c>
      <c r="K6" s="210">
        <v>6</v>
      </c>
      <c r="L6" s="271">
        <v>32</v>
      </c>
      <c r="N6" s="248">
        <v>0.27300000000000002</v>
      </c>
      <c r="O6" s="247">
        <v>0.38500000000000001</v>
      </c>
      <c r="P6" s="249">
        <f>IF(O6&lt;&gt;"",MROUND(O6*64,Param_DSC!$C$60),"")</f>
        <v>24.5</v>
      </c>
      <c r="Q6" s="249">
        <f t="shared" si="5"/>
        <v>9.7789999999999999</v>
      </c>
      <c r="R6" s="249">
        <f t="shared" si="6"/>
        <v>812.8</v>
      </c>
      <c r="S6" s="247"/>
      <c r="T6" s="280"/>
      <c r="U6" s="247"/>
    </row>
    <row r="7" spans="1:21" x14ac:dyDescent="0.2">
      <c r="A7" s="203" t="s">
        <v>665</v>
      </c>
      <c r="B7" s="204"/>
      <c r="C7" s="204"/>
      <c r="D7" s="204"/>
      <c r="E7" s="211" t="s">
        <v>667</v>
      </c>
      <c r="F7" s="206">
        <v>0.35</v>
      </c>
      <c r="G7" s="207">
        <f t="shared" si="1"/>
        <v>0.28874999999999995</v>
      </c>
      <c r="H7" s="208">
        <f t="shared" si="2"/>
        <v>90.043290043290057</v>
      </c>
      <c r="I7" s="209">
        <f t="shared" si="3"/>
        <v>194.3</v>
      </c>
      <c r="J7" s="270">
        <f t="shared" si="4"/>
        <v>25</v>
      </c>
      <c r="K7" s="210">
        <v>6.7</v>
      </c>
      <c r="L7" s="271">
        <v>32</v>
      </c>
      <c r="N7" s="248">
        <v>0.27300000000000002</v>
      </c>
      <c r="O7" s="247">
        <v>0.38500000000000001</v>
      </c>
      <c r="P7" s="249">
        <f>IF(O7&lt;&gt;"",MROUND(O7*64,Param_DSC!$C$60),"")</f>
        <v>24.5</v>
      </c>
      <c r="Q7" s="249">
        <f t="shared" si="5"/>
        <v>9.7789999999999999</v>
      </c>
      <c r="R7" s="249">
        <f t="shared" si="6"/>
        <v>812.8</v>
      </c>
      <c r="S7" s="247"/>
      <c r="T7" s="280"/>
      <c r="U7" s="247"/>
    </row>
    <row r="8" spans="1:21" x14ac:dyDescent="0.2">
      <c r="A8" s="203" t="s">
        <v>665</v>
      </c>
      <c r="B8" s="204"/>
      <c r="C8" s="204"/>
      <c r="D8" s="204"/>
      <c r="E8" s="211" t="s">
        <v>666</v>
      </c>
      <c r="F8" s="206">
        <v>0.32500000000000001</v>
      </c>
      <c r="G8" s="207">
        <f t="shared" si="1"/>
        <v>0.268125</v>
      </c>
      <c r="H8" s="208">
        <f t="shared" si="2"/>
        <v>96.969696969696969</v>
      </c>
      <c r="I8" s="209">
        <f t="shared" si="3"/>
        <v>159.5</v>
      </c>
      <c r="J8" s="270">
        <f t="shared" si="4"/>
        <v>25</v>
      </c>
      <c r="K8" s="210">
        <v>5.5</v>
      </c>
      <c r="L8" s="271">
        <v>32</v>
      </c>
      <c r="N8" s="248">
        <v>0.27300000000000002</v>
      </c>
      <c r="O8" s="247">
        <v>0.38500000000000001</v>
      </c>
      <c r="P8" s="249">
        <f>IF(O8&lt;&gt;"",MROUND(O8*64,Param_DSC!$C$60),"")</f>
        <v>24.5</v>
      </c>
      <c r="Q8" s="249">
        <f t="shared" si="5"/>
        <v>9.7789999999999999</v>
      </c>
      <c r="R8" s="249">
        <f t="shared" si="6"/>
        <v>812.8</v>
      </c>
      <c r="S8" s="247"/>
      <c r="T8" s="280"/>
      <c r="U8" s="247"/>
    </row>
    <row r="9" spans="1:21" x14ac:dyDescent="0.2">
      <c r="A9" s="203" t="s">
        <v>665</v>
      </c>
      <c r="B9" s="204"/>
      <c r="C9" s="204"/>
      <c r="D9" s="204"/>
      <c r="E9" s="211" t="s">
        <v>678</v>
      </c>
      <c r="F9" s="206">
        <v>0.2</v>
      </c>
      <c r="G9" s="207">
        <f t="shared" si="1"/>
        <v>0.16500000000000001</v>
      </c>
      <c r="H9" s="208">
        <f t="shared" si="2"/>
        <v>157.57575757575756</v>
      </c>
      <c r="I9" s="209">
        <f t="shared" si="3"/>
        <v>371.20000000000005</v>
      </c>
      <c r="J9" s="270">
        <f t="shared" si="4"/>
        <v>24</v>
      </c>
      <c r="K9" s="210">
        <v>12.8</v>
      </c>
      <c r="L9" s="271">
        <v>32</v>
      </c>
      <c r="N9" s="248">
        <v>0.27700000000000002</v>
      </c>
      <c r="O9" s="247">
        <v>0.372</v>
      </c>
      <c r="P9" s="249">
        <f>IF(O9&lt;&gt;"",MROUND(O9*64,Param_DSC!$C$60),"")</f>
        <v>24</v>
      </c>
      <c r="Q9" s="249">
        <f t="shared" si="5"/>
        <v>9.4487999999999985</v>
      </c>
      <c r="R9" s="249">
        <f t="shared" si="6"/>
        <v>812.8</v>
      </c>
      <c r="S9" s="247"/>
      <c r="T9" s="280"/>
      <c r="U9" s="247"/>
    </row>
    <row r="10" spans="1:21" x14ac:dyDescent="0.2">
      <c r="A10" s="203" t="s">
        <v>665</v>
      </c>
      <c r="B10" s="204"/>
      <c r="C10" s="204"/>
      <c r="D10" s="204"/>
      <c r="E10" s="211" t="s">
        <v>679</v>
      </c>
      <c r="F10" s="206">
        <v>0.17499999999999999</v>
      </c>
      <c r="G10" s="207">
        <f t="shared" si="1"/>
        <v>0.14437499999999998</v>
      </c>
      <c r="H10" s="208">
        <f t="shared" si="2"/>
        <v>180.08658008658011</v>
      </c>
      <c r="I10" s="209">
        <f t="shared" si="3"/>
        <v>435</v>
      </c>
      <c r="J10" s="270">
        <f t="shared" si="4"/>
        <v>25</v>
      </c>
      <c r="K10" s="210">
        <v>15</v>
      </c>
      <c r="L10" s="271">
        <v>32</v>
      </c>
      <c r="N10" s="248">
        <v>0.28000000000000003</v>
      </c>
      <c r="O10" s="247">
        <v>0.38</v>
      </c>
      <c r="P10" s="249">
        <f>IF(O10&lt;&gt;"",MROUND(O10*64,Param_DSC!$C$60),"")</f>
        <v>24.5</v>
      </c>
      <c r="Q10" s="249">
        <f t="shared" si="5"/>
        <v>9.6519999999999992</v>
      </c>
      <c r="R10" s="249">
        <f t="shared" si="6"/>
        <v>812.8</v>
      </c>
      <c r="S10" s="247"/>
      <c r="T10" s="280"/>
      <c r="U10" s="247"/>
    </row>
    <row r="11" spans="1:21" x14ac:dyDescent="0.2">
      <c r="A11" s="203" t="s">
        <v>665</v>
      </c>
      <c r="B11" s="204"/>
      <c r="C11" s="204"/>
      <c r="D11" s="204"/>
      <c r="E11" s="211" t="s">
        <v>677</v>
      </c>
      <c r="F11" s="206">
        <v>0.32500000000000001</v>
      </c>
      <c r="G11" s="207">
        <f t="shared" si="1"/>
        <v>0.268125</v>
      </c>
      <c r="H11" s="208">
        <f t="shared" si="2"/>
        <v>96.969696969696969</v>
      </c>
      <c r="I11" s="209">
        <f t="shared" si="3"/>
        <v>333.5</v>
      </c>
      <c r="J11" s="270">
        <f t="shared" si="4"/>
        <v>23</v>
      </c>
      <c r="K11" s="210">
        <v>11.5</v>
      </c>
      <c r="L11" s="271">
        <v>32</v>
      </c>
      <c r="N11" s="248">
        <v>0.27400000000000002</v>
      </c>
      <c r="O11" s="247">
        <v>0.36199999999999999</v>
      </c>
      <c r="P11" s="249">
        <f>IF(O11&lt;&gt;"",MROUND(O11*64,Param_DSC!$C$60),"")</f>
        <v>23</v>
      </c>
      <c r="Q11" s="249">
        <f t="shared" si="5"/>
        <v>9.194799999999999</v>
      </c>
      <c r="R11" s="249">
        <f t="shared" si="6"/>
        <v>812.8</v>
      </c>
      <c r="S11" s="247"/>
      <c r="T11" s="280"/>
      <c r="U11" s="247"/>
    </row>
    <row r="12" spans="1:21" x14ac:dyDescent="0.2">
      <c r="A12" s="203" t="s">
        <v>665</v>
      </c>
      <c r="B12" s="204"/>
      <c r="C12" s="204"/>
      <c r="D12" s="204"/>
      <c r="E12" s="211" t="s">
        <v>682</v>
      </c>
      <c r="F12" s="206">
        <v>0.25</v>
      </c>
      <c r="G12" s="207">
        <f t="shared" si="1"/>
        <v>0.20624999999999999</v>
      </c>
      <c r="H12" s="208">
        <f t="shared" si="2"/>
        <v>126.06060606060606</v>
      </c>
      <c r="I12" s="209">
        <f t="shared" si="3"/>
        <v>290</v>
      </c>
      <c r="J12" s="270">
        <f t="shared" si="4"/>
        <v>18</v>
      </c>
      <c r="K12" s="210">
        <v>10</v>
      </c>
      <c r="L12" s="271">
        <v>31</v>
      </c>
      <c r="N12" s="248">
        <v>0.245</v>
      </c>
      <c r="O12" s="247">
        <v>0.28499999999999998</v>
      </c>
      <c r="P12" s="249">
        <f>IF(O12&lt;&gt;"",MROUND(O12*64,Param_DSC!$C$60),"")</f>
        <v>18</v>
      </c>
      <c r="Q12" s="249">
        <f t="shared" si="5"/>
        <v>7.238999999999999</v>
      </c>
      <c r="R12" s="249">
        <f t="shared" si="6"/>
        <v>787.4</v>
      </c>
      <c r="S12" s="247"/>
      <c r="T12" s="280"/>
      <c r="U12" s="247"/>
    </row>
    <row r="13" spans="1:21" x14ac:dyDescent="0.2">
      <c r="A13" s="203" t="s">
        <v>665</v>
      </c>
      <c r="B13" s="204"/>
      <c r="C13" s="204"/>
      <c r="D13" s="204"/>
      <c r="E13" s="211" t="s">
        <v>683</v>
      </c>
      <c r="F13" s="206">
        <v>0.3</v>
      </c>
      <c r="G13" s="207">
        <f t="shared" si="1"/>
        <v>0.24749999999999997</v>
      </c>
      <c r="H13" s="208">
        <f t="shared" si="2"/>
        <v>105.05050505050507</v>
      </c>
      <c r="I13" s="209">
        <f t="shared" si="3"/>
        <v>261</v>
      </c>
      <c r="J13" s="270">
        <f t="shared" si="4"/>
        <v>18</v>
      </c>
      <c r="K13" s="210">
        <v>9</v>
      </c>
      <c r="L13" s="271">
        <v>31</v>
      </c>
      <c r="N13" s="248">
        <v>0.245</v>
      </c>
      <c r="O13" s="247">
        <v>0.28499999999999998</v>
      </c>
      <c r="P13" s="249">
        <f>IF(O13&lt;&gt;"",MROUND(O13*64,Param_DSC!$C$60),"")</f>
        <v>18</v>
      </c>
      <c r="Q13" s="249">
        <f t="shared" si="5"/>
        <v>7.238999999999999</v>
      </c>
      <c r="R13" s="249">
        <f t="shared" si="6"/>
        <v>787.4</v>
      </c>
      <c r="S13" s="247"/>
      <c r="T13" s="280"/>
      <c r="U13" s="247"/>
    </row>
    <row r="14" spans="1:21" x14ac:dyDescent="0.2">
      <c r="A14" s="203" t="s">
        <v>665</v>
      </c>
      <c r="B14" s="204"/>
      <c r="C14" s="204"/>
      <c r="D14" s="204"/>
      <c r="E14" s="211" t="s">
        <v>684</v>
      </c>
      <c r="F14" s="206">
        <v>0.35</v>
      </c>
      <c r="G14" s="207">
        <f t="shared" si="1"/>
        <v>0.28874999999999995</v>
      </c>
      <c r="H14" s="208">
        <f t="shared" si="2"/>
        <v>90.043290043290057</v>
      </c>
      <c r="I14" s="209">
        <f t="shared" si="3"/>
        <v>232</v>
      </c>
      <c r="J14" s="270">
        <f t="shared" si="4"/>
        <v>19</v>
      </c>
      <c r="K14" s="210">
        <v>8</v>
      </c>
      <c r="L14" s="271">
        <v>31</v>
      </c>
      <c r="N14" s="248">
        <v>0.245</v>
      </c>
      <c r="O14" s="247">
        <v>0.29299999999999998</v>
      </c>
      <c r="P14" s="249">
        <f>IF(O14&lt;&gt;"",MROUND(O14*64,Param_DSC!$C$60),"")</f>
        <v>19</v>
      </c>
      <c r="Q14" s="249">
        <f t="shared" si="5"/>
        <v>7.4421999999999988</v>
      </c>
      <c r="R14" s="249">
        <f t="shared" si="6"/>
        <v>787.4</v>
      </c>
      <c r="S14" s="247"/>
      <c r="T14" s="280"/>
      <c r="U14" s="247"/>
    </row>
    <row r="15" spans="1:21" x14ac:dyDescent="0.2">
      <c r="A15" s="203" t="s">
        <v>665</v>
      </c>
      <c r="B15" s="204"/>
      <c r="C15" s="204"/>
      <c r="D15" s="204"/>
      <c r="E15" s="211" t="s">
        <v>685</v>
      </c>
      <c r="F15" s="206">
        <v>0.4</v>
      </c>
      <c r="G15" s="207">
        <f t="shared" si="1"/>
        <v>0.33</v>
      </c>
      <c r="H15" s="208">
        <f t="shared" si="2"/>
        <v>78.787878787878782</v>
      </c>
      <c r="I15" s="209">
        <f t="shared" si="3"/>
        <v>217.5</v>
      </c>
      <c r="J15" s="270">
        <f t="shared" si="4"/>
        <v>19</v>
      </c>
      <c r="K15" s="210">
        <v>7.5</v>
      </c>
      <c r="L15" s="271">
        <v>31</v>
      </c>
      <c r="N15" s="248">
        <v>0.245</v>
      </c>
      <c r="O15" s="247">
        <v>0.29499999999999998</v>
      </c>
      <c r="P15" s="249">
        <f>IF(O15&lt;&gt;"",MROUND(O15*64,Param_DSC!$C$60),"")</f>
        <v>19</v>
      </c>
      <c r="Q15" s="249">
        <f t="shared" si="5"/>
        <v>7.4929999999999994</v>
      </c>
      <c r="R15" s="249">
        <f t="shared" si="6"/>
        <v>787.4</v>
      </c>
      <c r="S15" s="247"/>
      <c r="T15" s="280"/>
      <c r="U15" s="247"/>
    </row>
    <row r="16" spans="1:21" x14ac:dyDescent="0.2">
      <c r="A16" s="203" t="s">
        <v>665</v>
      </c>
      <c r="B16" s="204"/>
      <c r="C16" s="204"/>
      <c r="D16" s="204"/>
      <c r="E16" s="211" t="s">
        <v>687</v>
      </c>
      <c r="F16" s="206">
        <v>0.55000000000000004</v>
      </c>
      <c r="G16" s="207">
        <f t="shared" si="1"/>
        <v>0.45374999999999999</v>
      </c>
      <c r="H16" s="208">
        <f t="shared" si="2"/>
        <v>57.300275482093667</v>
      </c>
      <c r="I16" s="209">
        <f t="shared" si="3"/>
        <v>165.3</v>
      </c>
      <c r="J16" s="270">
        <f t="shared" si="4"/>
        <v>20</v>
      </c>
      <c r="K16" s="210">
        <v>5.7</v>
      </c>
      <c r="L16" s="271">
        <v>31</v>
      </c>
      <c r="N16" s="248">
        <v>0.245</v>
      </c>
      <c r="O16" s="247">
        <v>0.30299999999999999</v>
      </c>
      <c r="P16" s="249">
        <f>IF(O16&lt;&gt;"",MROUND(O16*64,Param_DSC!$C$60),"")</f>
        <v>19.5</v>
      </c>
      <c r="Q16" s="249">
        <f t="shared" si="5"/>
        <v>7.6961999999999993</v>
      </c>
      <c r="R16" s="249">
        <f t="shared" si="6"/>
        <v>787.4</v>
      </c>
      <c r="S16" s="247"/>
      <c r="T16" s="280"/>
      <c r="U16" s="247"/>
    </row>
    <row r="17" spans="1:21" x14ac:dyDescent="0.2">
      <c r="A17" s="203" t="s">
        <v>665</v>
      </c>
      <c r="B17" s="204"/>
      <c r="C17" s="204"/>
      <c r="D17" s="204"/>
      <c r="E17" s="211" t="s">
        <v>686</v>
      </c>
      <c r="F17" s="206">
        <v>0.5</v>
      </c>
      <c r="G17" s="207">
        <f t="shared" si="1"/>
        <v>0.41249999999999998</v>
      </c>
      <c r="H17" s="208">
        <f t="shared" si="2"/>
        <v>63.030303030303031</v>
      </c>
      <c r="I17" s="209">
        <f t="shared" si="3"/>
        <v>188.5</v>
      </c>
      <c r="J17" s="270">
        <f t="shared" si="4"/>
        <v>19</v>
      </c>
      <c r="K17" s="210">
        <v>6.5</v>
      </c>
      <c r="L17" s="271">
        <v>31</v>
      </c>
      <c r="N17" s="248">
        <v>0.245</v>
      </c>
      <c r="O17" s="247">
        <v>0.29899999999999999</v>
      </c>
      <c r="P17" s="249">
        <f>IF(O17&lt;&gt;"",MROUND(O17*64,Param_DSC!$C$60),"")</f>
        <v>19</v>
      </c>
      <c r="Q17" s="249">
        <f t="shared" si="5"/>
        <v>7.5945999999999989</v>
      </c>
      <c r="R17" s="249">
        <f t="shared" si="6"/>
        <v>787.4</v>
      </c>
      <c r="S17" s="247"/>
      <c r="T17" s="280"/>
      <c r="U17" s="247"/>
    </row>
    <row r="18" spans="1:21" x14ac:dyDescent="0.2">
      <c r="A18" s="203" t="s">
        <v>665</v>
      </c>
      <c r="B18" s="204"/>
      <c r="C18" s="204"/>
      <c r="D18" s="204"/>
      <c r="E18" s="211" t="s">
        <v>675</v>
      </c>
      <c r="F18" s="206">
        <v>0.375</v>
      </c>
      <c r="G18" s="207">
        <f t="shared" si="1"/>
        <v>0.30937499999999996</v>
      </c>
      <c r="H18" s="208">
        <f t="shared" si="2"/>
        <v>84.040404040404056</v>
      </c>
      <c r="I18" s="209">
        <f t="shared" si="3"/>
        <v>174</v>
      </c>
      <c r="J18" s="270">
        <f t="shared" si="4"/>
        <v>23</v>
      </c>
      <c r="K18" s="210">
        <v>6</v>
      </c>
      <c r="L18" s="271">
        <v>32</v>
      </c>
      <c r="N18" s="248">
        <v>0.252</v>
      </c>
      <c r="O18" s="247">
        <v>0.35699999999999998</v>
      </c>
      <c r="P18" s="249">
        <f>IF(O18&lt;&gt;"",MROUND(O18*64,Param_DSC!$C$60),"")</f>
        <v>23</v>
      </c>
      <c r="Q18" s="249">
        <f t="shared" si="5"/>
        <v>9.0677999999999983</v>
      </c>
      <c r="R18" s="249">
        <f t="shared" si="6"/>
        <v>812.8</v>
      </c>
      <c r="S18" s="247"/>
      <c r="T18" s="280"/>
      <c r="U18" s="247"/>
    </row>
    <row r="19" spans="1:21" x14ac:dyDescent="0.2">
      <c r="A19" s="203" t="s">
        <v>665</v>
      </c>
      <c r="B19" s="204"/>
      <c r="C19" s="204"/>
      <c r="D19" s="204"/>
      <c r="E19" s="211" t="s">
        <v>676</v>
      </c>
      <c r="F19" s="206">
        <v>0.32500000000000001</v>
      </c>
      <c r="G19" s="207">
        <f t="shared" si="1"/>
        <v>0.268125</v>
      </c>
      <c r="H19" s="208">
        <f t="shared" si="2"/>
        <v>96.969696969696969</v>
      </c>
      <c r="I19" s="209">
        <f t="shared" si="3"/>
        <v>203</v>
      </c>
      <c r="J19" s="270">
        <f t="shared" si="4"/>
        <v>23</v>
      </c>
      <c r="K19" s="210">
        <v>7</v>
      </c>
      <c r="L19" s="271">
        <v>32</v>
      </c>
      <c r="N19" s="248">
        <v>0.252</v>
      </c>
      <c r="O19" s="247">
        <v>0.35699999999999998</v>
      </c>
      <c r="P19" s="249">
        <f>IF(O19&lt;&gt;"",MROUND(O19*64,Param_DSC!$C$60),"")</f>
        <v>23</v>
      </c>
      <c r="Q19" s="249">
        <f t="shared" si="5"/>
        <v>9.0677999999999983</v>
      </c>
      <c r="R19" s="249">
        <f t="shared" si="6"/>
        <v>812.8</v>
      </c>
      <c r="S19" s="247"/>
      <c r="T19" s="280"/>
      <c r="U19" s="247"/>
    </row>
    <row r="20" spans="1:21" x14ac:dyDescent="0.2">
      <c r="A20" s="203" t="s">
        <v>665</v>
      </c>
      <c r="B20" s="204"/>
      <c r="C20" s="204"/>
      <c r="D20" s="204"/>
      <c r="E20" s="211" t="s">
        <v>694</v>
      </c>
      <c r="F20" s="206">
        <v>0.2</v>
      </c>
      <c r="G20" s="207">
        <f t="shared" si="1"/>
        <v>0.16500000000000001</v>
      </c>
      <c r="H20" s="208">
        <f t="shared" si="2"/>
        <v>157.57575757575756</v>
      </c>
      <c r="I20" s="209">
        <f t="shared" si="3"/>
        <v>290</v>
      </c>
      <c r="J20" s="270">
        <f t="shared" si="4"/>
        <v>22</v>
      </c>
      <c r="K20" s="210">
        <v>10</v>
      </c>
      <c r="L20" s="271">
        <v>32</v>
      </c>
      <c r="N20" s="248">
        <v>0.27</v>
      </c>
      <c r="O20" s="247">
        <v>0.34399999999999997</v>
      </c>
      <c r="P20" s="249">
        <f>IF(O20&lt;&gt;"",MROUND(O20*64,Param_DSC!$C$60),"")</f>
        <v>22</v>
      </c>
      <c r="Q20" s="249">
        <f t="shared" si="5"/>
        <v>8.7375999999999987</v>
      </c>
      <c r="R20" s="249">
        <f t="shared" si="6"/>
        <v>812.8</v>
      </c>
      <c r="S20" s="247"/>
      <c r="T20" s="280"/>
      <c r="U20" s="247"/>
    </row>
    <row r="21" spans="1:21" x14ac:dyDescent="0.2">
      <c r="A21" s="203" t="s">
        <v>665</v>
      </c>
      <c r="B21" s="204"/>
      <c r="C21" s="204"/>
      <c r="D21" s="204"/>
      <c r="E21" s="211" t="s">
        <v>693</v>
      </c>
      <c r="F21" s="206">
        <v>0.22500000000000001</v>
      </c>
      <c r="G21" s="207">
        <f t="shared" si="1"/>
        <v>0.18562499999999998</v>
      </c>
      <c r="H21" s="208">
        <f t="shared" si="2"/>
        <v>140.06734006734007</v>
      </c>
      <c r="I21" s="209">
        <f t="shared" si="3"/>
        <v>253.75</v>
      </c>
      <c r="J21" s="270">
        <f t="shared" si="4"/>
        <v>22</v>
      </c>
      <c r="K21" s="210">
        <v>8.75</v>
      </c>
      <c r="L21" s="271">
        <v>32</v>
      </c>
      <c r="N21" s="248">
        <v>0.26300000000000001</v>
      </c>
      <c r="O21" s="247">
        <v>0.33700000000000002</v>
      </c>
      <c r="P21" s="249">
        <f>IF(O21&lt;&gt;"",MROUND(O21*64,Param_DSC!$C$60),"")</f>
        <v>21.5</v>
      </c>
      <c r="Q21" s="249">
        <f t="shared" si="5"/>
        <v>8.5597999999999992</v>
      </c>
      <c r="R21" s="249">
        <f t="shared" si="6"/>
        <v>812.8</v>
      </c>
      <c r="S21" s="247"/>
      <c r="T21" s="280"/>
      <c r="U21" s="247"/>
    </row>
    <row r="22" spans="1:21" x14ac:dyDescent="0.2">
      <c r="A22" s="203" t="s">
        <v>665</v>
      </c>
      <c r="B22" s="204"/>
      <c r="C22" s="204"/>
      <c r="D22" s="204"/>
      <c r="E22" s="211" t="s">
        <v>692</v>
      </c>
      <c r="F22" s="206">
        <v>0.22500000000000001</v>
      </c>
      <c r="G22" s="207">
        <f t="shared" si="1"/>
        <v>0.18562499999999998</v>
      </c>
      <c r="H22" s="208">
        <f t="shared" si="2"/>
        <v>140.06734006734007</v>
      </c>
      <c r="I22" s="209">
        <f t="shared" si="3"/>
        <v>243.60000000000002</v>
      </c>
      <c r="J22" s="270">
        <f t="shared" si="4"/>
        <v>22</v>
      </c>
      <c r="K22" s="210">
        <v>8.4</v>
      </c>
      <c r="L22" s="271">
        <v>32</v>
      </c>
      <c r="N22" s="248">
        <v>0.26300000000000001</v>
      </c>
      <c r="O22" s="247">
        <v>0.33700000000000002</v>
      </c>
      <c r="P22" s="249">
        <f>IF(O22&lt;&gt;"",MROUND(O22*64,Param_DSC!$C$60),"")</f>
        <v>21.5</v>
      </c>
      <c r="Q22" s="249">
        <f t="shared" si="5"/>
        <v>8.5597999999999992</v>
      </c>
      <c r="R22" s="249">
        <f t="shared" si="6"/>
        <v>812.8</v>
      </c>
      <c r="S22" s="247"/>
      <c r="T22" s="280"/>
      <c r="U22" s="247"/>
    </row>
    <row r="23" spans="1:21" x14ac:dyDescent="0.2">
      <c r="A23" s="203" t="s">
        <v>665</v>
      </c>
      <c r="B23" s="204"/>
      <c r="C23" s="204"/>
      <c r="D23" s="204"/>
      <c r="E23" s="211" t="s">
        <v>690</v>
      </c>
      <c r="F23" s="206">
        <v>0.35</v>
      </c>
      <c r="G23" s="207">
        <f t="shared" si="1"/>
        <v>0.28874999999999995</v>
      </c>
      <c r="H23" s="208">
        <f t="shared" si="2"/>
        <v>90.043290043290057</v>
      </c>
      <c r="I23" s="209">
        <f t="shared" si="3"/>
        <v>174</v>
      </c>
      <c r="J23" s="270">
        <f t="shared" si="4"/>
        <v>21</v>
      </c>
      <c r="K23" s="210">
        <v>6</v>
      </c>
      <c r="L23" s="271">
        <v>32</v>
      </c>
      <c r="N23" s="248">
        <v>0.26300000000000001</v>
      </c>
      <c r="O23" s="247">
        <v>0.33</v>
      </c>
      <c r="P23" s="249">
        <f>IF(O23&lt;&gt;"",MROUND(O23*64,Param_DSC!$C$60),"")</f>
        <v>21</v>
      </c>
      <c r="Q23" s="249">
        <f t="shared" si="5"/>
        <v>8.3819999999999997</v>
      </c>
      <c r="R23" s="249">
        <f t="shared" si="6"/>
        <v>812.8</v>
      </c>
      <c r="S23" s="247"/>
      <c r="T23" s="280"/>
      <c r="U23" s="247"/>
    </row>
    <row r="24" spans="1:21" x14ac:dyDescent="0.2">
      <c r="A24" s="203" t="s">
        <v>665</v>
      </c>
      <c r="B24" s="204"/>
      <c r="C24" s="204"/>
      <c r="D24" s="204"/>
      <c r="E24" s="211" t="s">
        <v>691</v>
      </c>
      <c r="F24" s="206">
        <v>0.25</v>
      </c>
      <c r="G24" s="207">
        <f t="shared" si="1"/>
        <v>0.20624999999999999</v>
      </c>
      <c r="H24" s="208">
        <f t="shared" si="2"/>
        <v>126.06060606060606</v>
      </c>
      <c r="I24" s="209">
        <f t="shared" si="3"/>
        <v>232</v>
      </c>
      <c r="J24" s="270">
        <f t="shared" si="4"/>
        <v>22</v>
      </c>
      <c r="K24" s="210">
        <v>8</v>
      </c>
      <c r="L24" s="271">
        <v>32</v>
      </c>
      <c r="N24" s="248">
        <v>0.26300000000000001</v>
      </c>
      <c r="O24" s="247">
        <v>0.33600000000000002</v>
      </c>
      <c r="P24" s="249">
        <f>IF(O24&lt;&gt;"",MROUND(O24*64,Param_DSC!$C$60),"")</f>
        <v>21.5</v>
      </c>
      <c r="Q24" s="249">
        <f t="shared" si="5"/>
        <v>8.5343999999999998</v>
      </c>
      <c r="R24" s="249">
        <f t="shared" si="6"/>
        <v>812.8</v>
      </c>
      <c r="S24" s="247"/>
      <c r="T24" s="280"/>
      <c r="U24" s="247"/>
    </row>
    <row r="25" spans="1:21" x14ac:dyDescent="0.2">
      <c r="A25" s="203" t="s">
        <v>665</v>
      </c>
      <c r="B25" s="204"/>
      <c r="C25" s="204"/>
      <c r="D25" s="204"/>
      <c r="E25" s="211" t="s">
        <v>689</v>
      </c>
      <c r="F25" s="206">
        <v>0.32500000000000001</v>
      </c>
      <c r="G25" s="207">
        <f t="shared" si="1"/>
        <v>0.268125</v>
      </c>
      <c r="H25" s="208">
        <f t="shared" si="2"/>
        <v>96.969696969696969</v>
      </c>
      <c r="I25" s="209">
        <f t="shared" si="3"/>
        <v>145</v>
      </c>
      <c r="J25" s="270">
        <f t="shared" si="4"/>
        <v>21</v>
      </c>
      <c r="K25" s="210">
        <v>5</v>
      </c>
      <c r="L25" s="271">
        <v>32</v>
      </c>
      <c r="N25" s="248">
        <v>0.26100000000000001</v>
      </c>
      <c r="O25" s="247">
        <v>0.32800000000000001</v>
      </c>
      <c r="P25" s="249">
        <f>IF(O25&lt;&gt;"",MROUND(O25*64,Param_DSC!$C$60),"")</f>
        <v>21</v>
      </c>
      <c r="Q25" s="249">
        <f t="shared" si="5"/>
        <v>8.3311999999999991</v>
      </c>
      <c r="R25" s="249">
        <f t="shared" si="6"/>
        <v>812.8</v>
      </c>
      <c r="S25" s="247"/>
      <c r="T25" s="280"/>
      <c r="U25" s="247"/>
    </row>
    <row r="26" spans="1:21" x14ac:dyDescent="0.2">
      <c r="A26" s="203" t="s">
        <v>665</v>
      </c>
      <c r="B26" s="204"/>
      <c r="C26" s="204"/>
      <c r="D26" s="204"/>
      <c r="E26" s="211" t="s">
        <v>673</v>
      </c>
      <c r="F26" s="206">
        <v>0.27500000000000002</v>
      </c>
      <c r="G26" s="207">
        <f t="shared" si="1"/>
        <v>0.22687499999999999</v>
      </c>
      <c r="H26" s="208">
        <f t="shared" si="2"/>
        <v>114.60055096418733</v>
      </c>
      <c r="I26" s="209">
        <f t="shared" si="3"/>
        <v>290</v>
      </c>
      <c r="J26" s="270">
        <f t="shared" si="4"/>
        <v>19</v>
      </c>
      <c r="K26" s="210">
        <v>10</v>
      </c>
      <c r="L26" s="271">
        <v>32</v>
      </c>
      <c r="N26" s="248">
        <v>0.23200000000000001</v>
      </c>
      <c r="O26" s="247">
        <v>0.29299999999999998</v>
      </c>
      <c r="P26" s="249">
        <f>IF(O26&lt;&gt;"",MROUND(O26*64,Param_DSC!$C$60),"")</f>
        <v>19</v>
      </c>
      <c r="Q26" s="249">
        <f t="shared" si="5"/>
        <v>7.4421999999999988</v>
      </c>
      <c r="R26" s="249">
        <f t="shared" si="6"/>
        <v>812.8</v>
      </c>
      <c r="S26" s="247"/>
      <c r="T26" s="280"/>
      <c r="U26" s="247"/>
    </row>
    <row r="27" spans="1:21" x14ac:dyDescent="0.2">
      <c r="A27" s="203" t="s">
        <v>665</v>
      </c>
      <c r="B27" s="204"/>
      <c r="C27" s="204"/>
      <c r="D27" s="204"/>
      <c r="E27" s="211" t="s">
        <v>672</v>
      </c>
      <c r="F27" s="206">
        <v>0.3</v>
      </c>
      <c r="G27" s="207">
        <f t="shared" si="1"/>
        <v>0.24749999999999997</v>
      </c>
      <c r="H27" s="208">
        <f t="shared" si="2"/>
        <v>105.05050505050507</v>
      </c>
      <c r="I27" s="209">
        <f t="shared" si="3"/>
        <v>261</v>
      </c>
      <c r="J27" s="270">
        <f t="shared" si="4"/>
        <v>19</v>
      </c>
      <c r="K27" s="210">
        <v>9</v>
      </c>
      <c r="L27" s="271">
        <v>32</v>
      </c>
      <c r="N27" s="248">
        <v>0.23</v>
      </c>
      <c r="O27" s="247">
        <v>0.28999999999999998</v>
      </c>
      <c r="P27" s="249">
        <f>IF(O27&lt;&gt;"",MROUND(O27*64,Param_DSC!$C$60),"")</f>
        <v>18.5</v>
      </c>
      <c r="Q27" s="249">
        <f t="shared" si="5"/>
        <v>7.3659999999999988</v>
      </c>
      <c r="R27" s="249">
        <f t="shared" si="6"/>
        <v>812.8</v>
      </c>
      <c r="S27" s="247"/>
      <c r="T27" s="280"/>
      <c r="U27" s="247"/>
    </row>
    <row r="28" spans="1:21" x14ac:dyDescent="0.2">
      <c r="A28" s="203" t="s">
        <v>665</v>
      </c>
      <c r="B28" s="204"/>
      <c r="C28" s="204"/>
      <c r="D28" s="204"/>
      <c r="E28" s="211" t="s">
        <v>671</v>
      </c>
      <c r="F28" s="206">
        <v>0.35</v>
      </c>
      <c r="G28" s="207">
        <f t="shared" si="1"/>
        <v>0.28874999999999995</v>
      </c>
      <c r="H28" s="208">
        <f t="shared" si="2"/>
        <v>90.043290043290057</v>
      </c>
      <c r="I28" s="209">
        <f t="shared" si="3"/>
        <v>217.5</v>
      </c>
      <c r="J28" s="270">
        <f t="shared" si="4"/>
        <v>19</v>
      </c>
      <c r="K28" s="210">
        <v>7.5</v>
      </c>
      <c r="L28" s="271">
        <v>32</v>
      </c>
      <c r="N28" s="248">
        <v>0.22800000000000001</v>
      </c>
      <c r="O28" s="247">
        <v>0.28799999999999998</v>
      </c>
      <c r="P28" s="249">
        <f>IF(O28&lt;&gt;"",MROUND(O28*64,Param_DSC!$C$60),"")</f>
        <v>18.5</v>
      </c>
      <c r="Q28" s="249">
        <f t="shared" si="5"/>
        <v>7.315199999999999</v>
      </c>
      <c r="R28" s="249">
        <f t="shared" si="6"/>
        <v>812.8</v>
      </c>
      <c r="S28" s="247"/>
      <c r="T28" s="280"/>
      <c r="U28" s="247"/>
    </row>
    <row r="29" spans="1:21" x14ac:dyDescent="0.2">
      <c r="A29" s="203" t="s">
        <v>665</v>
      </c>
      <c r="B29" s="204"/>
      <c r="C29" s="204"/>
      <c r="D29" s="204"/>
      <c r="E29" s="211" t="s">
        <v>670</v>
      </c>
      <c r="F29" s="206">
        <v>0.35</v>
      </c>
      <c r="G29" s="207">
        <f t="shared" si="1"/>
        <v>0.28874999999999995</v>
      </c>
      <c r="H29" s="208">
        <f t="shared" si="2"/>
        <v>90.043290043290057</v>
      </c>
      <c r="I29" s="209">
        <f t="shared" si="3"/>
        <v>203</v>
      </c>
      <c r="J29" s="270">
        <f t="shared" si="4"/>
        <v>19</v>
      </c>
      <c r="K29" s="210">
        <v>7</v>
      </c>
      <c r="L29" s="271">
        <v>32</v>
      </c>
      <c r="N29" s="248">
        <v>0.22800000000000001</v>
      </c>
      <c r="O29" s="247">
        <v>0.28699999999999998</v>
      </c>
      <c r="P29" s="249">
        <f>IF(O29&lt;&gt;"",MROUND(O29*64,Param_DSC!$C$60),"")</f>
        <v>18.5</v>
      </c>
      <c r="Q29" s="249">
        <f t="shared" si="5"/>
        <v>7.2897999999999987</v>
      </c>
      <c r="R29" s="249">
        <f t="shared" si="6"/>
        <v>812.8</v>
      </c>
      <c r="S29" s="247"/>
      <c r="T29" s="280"/>
      <c r="U29" s="247"/>
    </row>
    <row r="30" spans="1:21" x14ac:dyDescent="0.2">
      <c r="A30" s="203" t="s">
        <v>665</v>
      </c>
      <c r="B30" s="204"/>
      <c r="C30" s="204"/>
      <c r="D30" s="204"/>
      <c r="E30" s="211" t="s">
        <v>674</v>
      </c>
      <c r="F30" s="206">
        <v>0.25</v>
      </c>
      <c r="G30" s="207">
        <f t="shared" si="1"/>
        <v>0.20624999999999999</v>
      </c>
      <c r="H30" s="208">
        <f t="shared" si="2"/>
        <v>126.06060606060606</v>
      </c>
      <c r="I30" s="209">
        <f t="shared" si="3"/>
        <v>319</v>
      </c>
      <c r="J30" s="270">
        <f t="shared" si="4"/>
        <v>19</v>
      </c>
      <c r="K30" s="210">
        <v>11</v>
      </c>
      <c r="L30" s="271">
        <v>32</v>
      </c>
      <c r="N30" s="248">
        <v>0.23300000000000001</v>
      </c>
      <c r="O30" s="247">
        <v>0.29499999999999998</v>
      </c>
      <c r="P30" s="249">
        <f>IF(O30&lt;&gt;"",MROUND(O30*64,Param_DSC!$C$60),"")</f>
        <v>19</v>
      </c>
      <c r="Q30" s="249">
        <f t="shared" si="5"/>
        <v>7.4929999999999994</v>
      </c>
      <c r="R30" s="249">
        <f t="shared" si="6"/>
        <v>812.8</v>
      </c>
      <c r="S30" s="247"/>
      <c r="T30" s="280"/>
      <c r="U30" s="247"/>
    </row>
    <row r="31" spans="1:21" x14ac:dyDescent="0.2">
      <c r="A31" s="203" t="s">
        <v>665</v>
      </c>
      <c r="B31" s="204"/>
      <c r="C31" s="204"/>
      <c r="D31" s="204"/>
      <c r="E31" s="211" t="s">
        <v>688</v>
      </c>
      <c r="F31" s="206">
        <v>0.45</v>
      </c>
      <c r="G31" s="207">
        <f t="shared" si="1"/>
        <v>0.37124999999999997</v>
      </c>
      <c r="H31" s="208">
        <f t="shared" si="2"/>
        <v>70.033670033670035</v>
      </c>
      <c r="I31" s="209">
        <f t="shared" si="3"/>
        <v>188.5</v>
      </c>
      <c r="J31" s="270">
        <f t="shared" si="4"/>
        <v>18</v>
      </c>
      <c r="K31" s="210">
        <v>6.5</v>
      </c>
      <c r="L31" s="271">
        <v>32</v>
      </c>
      <c r="N31" s="248">
        <v>0.22600000000000001</v>
      </c>
      <c r="O31" s="247">
        <v>0.28299999999999997</v>
      </c>
      <c r="P31" s="249">
        <f>IF(O31&lt;&gt;"",MROUND(O31*64,Param_DSC!$C$60),"")</f>
        <v>18</v>
      </c>
      <c r="Q31" s="249">
        <f t="shared" si="5"/>
        <v>7.1881999999999993</v>
      </c>
      <c r="R31" s="249">
        <f t="shared" si="6"/>
        <v>812.8</v>
      </c>
      <c r="S31" s="247"/>
      <c r="T31" s="280"/>
      <c r="U31" s="247"/>
    </row>
    <row r="32" spans="1:21" x14ac:dyDescent="0.2">
      <c r="A32" s="203" t="s">
        <v>665</v>
      </c>
      <c r="B32" s="204"/>
      <c r="C32" s="204"/>
      <c r="D32" s="204"/>
      <c r="E32" s="211" t="s">
        <v>680</v>
      </c>
      <c r="F32" s="206">
        <v>0.27500000000000002</v>
      </c>
      <c r="G32" s="207">
        <f t="shared" si="1"/>
        <v>0.22687499999999999</v>
      </c>
      <c r="H32" s="208">
        <f t="shared" si="2"/>
        <v>114.60055096418733</v>
      </c>
      <c r="I32" s="209">
        <f t="shared" si="3"/>
        <v>319</v>
      </c>
      <c r="J32" s="270">
        <f t="shared" si="4"/>
        <v>22</v>
      </c>
      <c r="K32" s="210">
        <v>11</v>
      </c>
      <c r="L32" s="271">
        <v>32</v>
      </c>
      <c r="N32" s="248">
        <v>0.27</v>
      </c>
      <c r="O32" s="247">
        <v>0.34300000000000003</v>
      </c>
      <c r="P32" s="249">
        <f>IF(O32&lt;&gt;"",MROUND(O32*64,Param_DSC!$C$60),"")</f>
        <v>22</v>
      </c>
      <c r="Q32" s="249">
        <f t="shared" si="5"/>
        <v>8.7122000000000011</v>
      </c>
      <c r="R32" s="249">
        <f t="shared" si="6"/>
        <v>812.8</v>
      </c>
      <c r="S32" s="247"/>
      <c r="T32" s="280"/>
      <c r="U32" s="247"/>
    </row>
    <row r="33" spans="1:21" x14ac:dyDescent="0.2">
      <c r="A33" s="203" t="s">
        <v>665</v>
      </c>
      <c r="B33" s="204"/>
      <c r="C33" s="204"/>
      <c r="D33" s="204"/>
      <c r="E33" s="211" t="s">
        <v>681</v>
      </c>
      <c r="F33" s="206">
        <v>0.375</v>
      </c>
      <c r="G33" s="207">
        <f t="shared" si="1"/>
        <v>0.30937499999999996</v>
      </c>
      <c r="H33" s="208">
        <f t="shared" si="2"/>
        <v>84.040404040404056</v>
      </c>
      <c r="I33" s="209">
        <f t="shared" si="3"/>
        <v>284.20000000000005</v>
      </c>
      <c r="J33" s="270">
        <f t="shared" si="4"/>
        <v>23</v>
      </c>
      <c r="K33" s="210">
        <v>9.8000000000000007</v>
      </c>
      <c r="L33" s="271">
        <v>32</v>
      </c>
      <c r="N33" s="248">
        <v>0.27</v>
      </c>
      <c r="O33" s="247">
        <v>0.35</v>
      </c>
      <c r="P33" s="249">
        <f>IF(O33&lt;&gt;"",MROUND(O33*64,Param_DSC!$C$60),"")</f>
        <v>22.5</v>
      </c>
      <c r="Q33" s="249">
        <f t="shared" si="5"/>
        <v>8.8899999999999988</v>
      </c>
      <c r="R33" s="249">
        <f t="shared" ref="R33" si="7">L33*25.4</f>
        <v>812.8</v>
      </c>
      <c r="S33" s="247"/>
      <c r="T33" s="280"/>
      <c r="U33" s="247"/>
    </row>
    <row r="34" spans="1:21" x14ac:dyDescent="0.2">
      <c r="A34" s="195" t="s">
        <v>378</v>
      </c>
      <c r="B34" s="196"/>
      <c r="C34" s="196" t="s">
        <v>18</v>
      </c>
      <c r="D34" s="196"/>
      <c r="E34" s="211" t="s">
        <v>390</v>
      </c>
      <c r="F34" s="272">
        <f t="shared" ref="F34:F78" si="8">G34/0.825</f>
        <v>0.3006060606060606</v>
      </c>
      <c r="G34" s="227">
        <v>0.248</v>
      </c>
      <c r="H34" s="208">
        <f t="shared" si="2"/>
        <v>104.83870967741936</v>
      </c>
      <c r="I34" s="209">
        <f t="shared" si="3"/>
        <v>243.60000000000002</v>
      </c>
      <c r="J34" s="270">
        <f t="shared" si="4"/>
        <v>19</v>
      </c>
      <c r="K34" s="210">
        <v>8.4</v>
      </c>
      <c r="L34" s="271">
        <v>33</v>
      </c>
      <c r="N34" s="244">
        <v>0.246</v>
      </c>
      <c r="O34" s="245">
        <v>0.29699999999999999</v>
      </c>
      <c r="P34" s="249">
        <f>IF(O34&lt;&gt;"",MROUND(O34*64,Param_DSC!$C$60),"")</f>
        <v>19</v>
      </c>
      <c r="Q34" s="249">
        <f t="shared" si="5"/>
        <v>7.5437999999999992</v>
      </c>
      <c r="R34" s="279">
        <v>838.2</v>
      </c>
      <c r="S34" s="247"/>
      <c r="T34" s="280"/>
      <c r="U34" s="247"/>
    </row>
    <row r="35" spans="1:21" x14ac:dyDescent="0.2">
      <c r="A35" s="195" t="s">
        <v>378</v>
      </c>
      <c r="B35" s="196"/>
      <c r="C35" s="196" t="s">
        <v>18</v>
      </c>
      <c r="D35" s="196"/>
      <c r="E35" s="211" t="s">
        <v>391</v>
      </c>
      <c r="F35" s="272">
        <f t="shared" si="8"/>
        <v>0.4</v>
      </c>
      <c r="G35" s="227">
        <v>0.33</v>
      </c>
      <c r="H35" s="208">
        <f t="shared" si="2"/>
        <v>78.787878787878782</v>
      </c>
      <c r="I35" s="209">
        <f t="shared" si="3"/>
        <v>211.7</v>
      </c>
      <c r="J35" s="270">
        <f t="shared" si="4"/>
        <v>19</v>
      </c>
      <c r="K35" s="210">
        <v>7.3</v>
      </c>
      <c r="L35" s="271">
        <v>33</v>
      </c>
      <c r="N35" s="244">
        <v>0.246</v>
      </c>
      <c r="O35" s="245">
        <v>0.29199999999999998</v>
      </c>
      <c r="P35" s="249">
        <f>IF(O35&lt;&gt;"",MROUND(O35*64,Param_DSC!$C$60),"")</f>
        <v>18.5</v>
      </c>
      <c r="Q35" s="249">
        <f t="shared" si="5"/>
        <v>7.4167999999999994</v>
      </c>
      <c r="R35" s="279">
        <v>838.2</v>
      </c>
      <c r="S35" s="247"/>
      <c r="T35" s="280"/>
      <c r="U35" s="247"/>
    </row>
    <row r="36" spans="1:21" x14ac:dyDescent="0.2">
      <c r="A36" s="195" t="s">
        <v>378</v>
      </c>
      <c r="B36" s="196"/>
      <c r="C36" s="196" t="s">
        <v>18</v>
      </c>
      <c r="D36" s="196"/>
      <c r="E36" s="211" t="s">
        <v>398</v>
      </c>
      <c r="F36" s="272">
        <f t="shared" si="8"/>
        <v>0.50060606060606061</v>
      </c>
      <c r="G36" s="227">
        <v>0.41299999999999998</v>
      </c>
      <c r="H36" s="208">
        <f t="shared" si="2"/>
        <v>62.953995157384995</v>
      </c>
      <c r="I36" s="209">
        <f t="shared" si="3"/>
        <v>176.89999999999998</v>
      </c>
      <c r="J36" s="270">
        <f t="shared" si="4"/>
        <v>18</v>
      </c>
      <c r="K36" s="210">
        <v>6.1</v>
      </c>
      <c r="L36" s="271">
        <v>33</v>
      </c>
      <c r="N36" s="244">
        <v>0.246</v>
      </c>
      <c r="O36" s="245">
        <v>0.28399999999999997</v>
      </c>
      <c r="P36" s="249">
        <f>IF(O36&lt;&gt;"",MROUND(O36*64,Param_DSC!$C$60),"")</f>
        <v>18</v>
      </c>
      <c r="Q36" s="249">
        <f t="shared" si="5"/>
        <v>7.2135999999999987</v>
      </c>
      <c r="R36" s="279">
        <v>838.2</v>
      </c>
      <c r="S36" s="247"/>
      <c r="T36" s="280"/>
      <c r="U36" s="247"/>
    </row>
    <row r="37" spans="1:21" x14ac:dyDescent="0.2">
      <c r="A37" s="195" t="s">
        <v>378</v>
      </c>
      <c r="B37" s="196"/>
      <c r="C37" s="196" t="s">
        <v>18</v>
      </c>
      <c r="D37" s="196"/>
      <c r="E37" s="211" t="s">
        <v>392</v>
      </c>
      <c r="F37" s="272">
        <f t="shared" si="8"/>
        <v>0.6</v>
      </c>
      <c r="G37" s="227">
        <v>0.495</v>
      </c>
      <c r="H37" s="208">
        <f t="shared" si="2"/>
        <v>52.525252525252526</v>
      </c>
      <c r="I37" s="209">
        <f t="shared" ref="I37:I68" si="9">K37*29</f>
        <v>162.39999999999998</v>
      </c>
      <c r="J37" s="270">
        <f t="shared" ref="J37:J68" si="10">ROUND(P37,0)</f>
        <v>18</v>
      </c>
      <c r="K37" s="210">
        <v>5.6</v>
      </c>
      <c r="L37" s="271">
        <v>33</v>
      </c>
      <c r="N37" s="244">
        <v>0.246</v>
      </c>
      <c r="O37" s="245">
        <v>0.28100000000000003</v>
      </c>
      <c r="P37" s="249">
        <f>IF(O37&lt;&gt;"",MROUND(O37*64,Param_DSC!$C$60),"")</f>
        <v>18</v>
      </c>
      <c r="Q37" s="249">
        <f t="shared" ref="Q37:Q68" si="11">IF(O37&lt;&gt;"",O37*25.4,"")</f>
        <v>7.1374000000000004</v>
      </c>
      <c r="R37" s="279">
        <v>838.2</v>
      </c>
      <c r="S37" s="247"/>
      <c r="T37" s="280"/>
      <c r="U37" s="247"/>
    </row>
    <row r="38" spans="1:21" x14ac:dyDescent="0.2">
      <c r="A38" s="195" t="s">
        <v>378</v>
      </c>
      <c r="B38" s="196"/>
      <c r="C38" s="196" t="s">
        <v>18</v>
      </c>
      <c r="D38" s="196"/>
      <c r="E38" s="211" t="s">
        <v>393</v>
      </c>
      <c r="F38" s="272">
        <f t="shared" si="8"/>
        <v>0.70060606060606057</v>
      </c>
      <c r="G38" s="227">
        <v>0.57799999999999996</v>
      </c>
      <c r="H38" s="208">
        <f t="shared" si="2"/>
        <v>44.982698961937722</v>
      </c>
      <c r="I38" s="209">
        <f t="shared" si="9"/>
        <v>147.89999999999998</v>
      </c>
      <c r="J38" s="270">
        <f t="shared" si="10"/>
        <v>18</v>
      </c>
      <c r="K38" s="210">
        <v>5.0999999999999996</v>
      </c>
      <c r="L38" s="271">
        <v>33</v>
      </c>
      <c r="N38" s="244">
        <v>0.246</v>
      </c>
      <c r="O38" s="245">
        <v>0.27900000000000003</v>
      </c>
      <c r="P38" s="249">
        <f>IF(O38&lt;&gt;"",MROUND(O38*64,Param_DSC!$C$60),"")</f>
        <v>18</v>
      </c>
      <c r="Q38" s="249">
        <f t="shared" si="11"/>
        <v>7.0866000000000007</v>
      </c>
      <c r="R38" s="279">
        <v>838.2</v>
      </c>
      <c r="S38" s="247"/>
      <c r="T38" s="280"/>
      <c r="U38" s="247"/>
    </row>
    <row r="39" spans="1:21" x14ac:dyDescent="0.2">
      <c r="A39" s="195" t="s">
        <v>378</v>
      </c>
      <c r="B39" s="196"/>
      <c r="C39" s="196" t="s">
        <v>17</v>
      </c>
      <c r="D39" s="196"/>
      <c r="E39" s="211" t="s">
        <v>379</v>
      </c>
      <c r="F39" s="272">
        <f t="shared" si="8"/>
        <v>1.656969696969697</v>
      </c>
      <c r="G39" s="227">
        <v>1.367</v>
      </c>
      <c r="H39" s="208">
        <f t="shared" si="2"/>
        <v>19.019751280175566</v>
      </c>
      <c r="I39" s="209">
        <f t="shared" si="9"/>
        <v>211.7</v>
      </c>
      <c r="J39" s="270">
        <f t="shared" si="10"/>
        <v>14</v>
      </c>
      <c r="K39" s="210">
        <v>7.3</v>
      </c>
      <c r="L39" s="271">
        <v>33</v>
      </c>
      <c r="N39" s="244">
        <v>0.187</v>
      </c>
      <c r="O39" s="245">
        <v>0.219</v>
      </c>
      <c r="P39" s="249">
        <f>IF(O39&lt;&gt;"",MROUND(O39*64,Param_DSC!$C$60),"")</f>
        <v>14</v>
      </c>
      <c r="Q39" s="249">
        <f t="shared" si="11"/>
        <v>5.5625999999999998</v>
      </c>
      <c r="R39" s="279">
        <v>838.2</v>
      </c>
      <c r="S39" s="247"/>
      <c r="T39" s="280"/>
      <c r="U39" s="247"/>
    </row>
    <row r="40" spans="1:21" x14ac:dyDescent="0.2">
      <c r="A40" s="195" t="s">
        <v>378</v>
      </c>
      <c r="B40" s="196"/>
      <c r="C40" s="196" t="s">
        <v>17</v>
      </c>
      <c r="D40" s="196"/>
      <c r="E40" s="211" t="s">
        <v>380</v>
      </c>
      <c r="F40" s="272">
        <f t="shared" si="8"/>
        <v>1.3127272727272727</v>
      </c>
      <c r="G40" s="227">
        <v>1.083</v>
      </c>
      <c r="H40" s="208">
        <f t="shared" si="2"/>
        <v>24.007386888273317</v>
      </c>
      <c r="I40" s="209">
        <f t="shared" si="9"/>
        <v>229.10000000000002</v>
      </c>
      <c r="J40" s="270">
        <f t="shared" si="10"/>
        <v>15</v>
      </c>
      <c r="K40" s="210">
        <v>7.9</v>
      </c>
      <c r="L40" s="271">
        <v>33</v>
      </c>
      <c r="N40" s="244">
        <v>0.20200000000000001</v>
      </c>
      <c r="O40" s="245">
        <v>0.23400000000000001</v>
      </c>
      <c r="P40" s="249">
        <f>IF(O40&lt;&gt;"",MROUND(O40*64,Param_DSC!$C$60),"")</f>
        <v>15</v>
      </c>
      <c r="Q40" s="249">
        <f t="shared" si="11"/>
        <v>5.9436</v>
      </c>
      <c r="R40" s="279">
        <v>838.2</v>
      </c>
      <c r="S40" s="247"/>
      <c r="T40" s="280"/>
      <c r="U40" s="247"/>
    </row>
    <row r="41" spans="1:21" x14ac:dyDescent="0.2">
      <c r="A41" s="195" t="s">
        <v>378</v>
      </c>
      <c r="B41" s="196"/>
      <c r="C41" s="196" t="s">
        <v>17</v>
      </c>
      <c r="D41" s="196"/>
      <c r="E41" s="211" t="s">
        <v>381</v>
      </c>
      <c r="F41" s="272">
        <f t="shared" si="8"/>
        <v>1.04</v>
      </c>
      <c r="G41" s="227">
        <v>0.85799999999999998</v>
      </c>
      <c r="H41" s="208">
        <f t="shared" si="2"/>
        <v>30.303030303030305</v>
      </c>
      <c r="I41" s="209">
        <f t="shared" si="9"/>
        <v>246.5</v>
      </c>
      <c r="J41" s="270">
        <f t="shared" si="10"/>
        <v>16</v>
      </c>
      <c r="K41" s="210">
        <v>8.5</v>
      </c>
      <c r="L41" s="271">
        <v>33</v>
      </c>
      <c r="N41" s="244">
        <v>0.218</v>
      </c>
      <c r="O41" s="245">
        <v>0.25</v>
      </c>
      <c r="P41" s="249">
        <f>IF(O41&lt;&gt;"",MROUND(O41*64,Param_DSC!$C$60),"")</f>
        <v>16</v>
      </c>
      <c r="Q41" s="249">
        <f t="shared" si="11"/>
        <v>6.35</v>
      </c>
      <c r="R41" s="279">
        <v>838.2</v>
      </c>
      <c r="S41" s="247"/>
      <c r="T41" s="280"/>
      <c r="U41" s="247"/>
    </row>
    <row r="42" spans="1:21" x14ac:dyDescent="0.2">
      <c r="A42" s="195" t="s">
        <v>378</v>
      </c>
      <c r="B42" s="196"/>
      <c r="C42" s="196" t="s">
        <v>17</v>
      </c>
      <c r="D42" s="196"/>
      <c r="E42" s="211" t="s">
        <v>382</v>
      </c>
      <c r="F42" s="272">
        <f t="shared" si="8"/>
        <v>0.86787878787878792</v>
      </c>
      <c r="G42" s="227">
        <v>0.71599999999999997</v>
      </c>
      <c r="H42" s="208">
        <f t="shared" si="2"/>
        <v>36.312849162011176</v>
      </c>
      <c r="I42" s="209">
        <f t="shared" si="9"/>
        <v>255.20000000000002</v>
      </c>
      <c r="J42" s="270">
        <f t="shared" si="10"/>
        <v>17</v>
      </c>
      <c r="K42" s="210">
        <v>8.8000000000000007</v>
      </c>
      <c r="L42" s="271">
        <v>33</v>
      </c>
      <c r="N42" s="244">
        <v>0.23400000000000001</v>
      </c>
      <c r="O42" s="245">
        <v>0.26600000000000001</v>
      </c>
      <c r="P42" s="249">
        <f>IF(O42&lt;&gt;"",MROUND(O42*64,Param_DSC!$C$60),"")</f>
        <v>17</v>
      </c>
      <c r="Q42" s="249">
        <f t="shared" si="11"/>
        <v>6.7564000000000002</v>
      </c>
      <c r="R42" s="279">
        <v>838.2</v>
      </c>
      <c r="S42" s="247"/>
      <c r="T42" s="280"/>
      <c r="U42" s="247"/>
    </row>
    <row r="43" spans="1:21" x14ac:dyDescent="0.2">
      <c r="A43" s="195" t="s">
        <v>378</v>
      </c>
      <c r="B43" s="196"/>
      <c r="C43" s="196" t="s">
        <v>17</v>
      </c>
      <c r="D43" s="196"/>
      <c r="E43" s="211" t="s">
        <v>383</v>
      </c>
      <c r="F43" s="272">
        <f t="shared" si="8"/>
        <v>0.72848484848484851</v>
      </c>
      <c r="G43" s="227">
        <v>0.60099999999999998</v>
      </c>
      <c r="H43" s="208">
        <f t="shared" si="2"/>
        <v>43.261231281198008</v>
      </c>
      <c r="I43" s="209">
        <f t="shared" si="9"/>
        <v>266.79999999999995</v>
      </c>
      <c r="J43" s="270">
        <f t="shared" si="10"/>
        <v>18</v>
      </c>
      <c r="K43" s="210">
        <v>9.1999999999999993</v>
      </c>
      <c r="L43" s="271">
        <v>33</v>
      </c>
      <c r="N43" s="244">
        <v>0.249</v>
      </c>
      <c r="O43" s="245">
        <v>0.28100000000000003</v>
      </c>
      <c r="P43" s="249">
        <f>IF(O43&lt;&gt;"",MROUND(O43*64,Param_DSC!$C$60),"")</f>
        <v>18</v>
      </c>
      <c r="Q43" s="249">
        <f t="shared" si="11"/>
        <v>7.1374000000000004</v>
      </c>
      <c r="R43" s="279">
        <v>838.2</v>
      </c>
      <c r="S43" s="247"/>
      <c r="T43" s="280"/>
      <c r="U43" s="247"/>
    </row>
    <row r="44" spans="1:21" x14ac:dyDescent="0.2">
      <c r="A44" s="195" t="s">
        <v>378</v>
      </c>
      <c r="B44" s="196"/>
      <c r="C44" s="196" t="s">
        <v>17</v>
      </c>
      <c r="D44" s="196"/>
      <c r="E44" s="211" t="s">
        <v>384</v>
      </c>
      <c r="F44" s="272">
        <f t="shared" si="8"/>
        <v>0.65212121212121221</v>
      </c>
      <c r="G44" s="227">
        <v>0.53800000000000003</v>
      </c>
      <c r="H44" s="208">
        <f t="shared" si="2"/>
        <v>48.3271375464684</v>
      </c>
      <c r="I44" s="209">
        <f t="shared" si="9"/>
        <v>284.20000000000005</v>
      </c>
      <c r="J44" s="270">
        <f t="shared" si="10"/>
        <v>19</v>
      </c>
      <c r="K44" s="210">
        <v>9.8000000000000007</v>
      </c>
      <c r="L44" s="271">
        <v>33</v>
      </c>
      <c r="N44" s="244">
        <v>0.26500000000000001</v>
      </c>
      <c r="O44" s="245">
        <v>0.29699999999999999</v>
      </c>
      <c r="P44" s="249">
        <f>IF(O44&lt;&gt;"",MROUND(O44*64,Param_DSC!$C$60),"")</f>
        <v>19</v>
      </c>
      <c r="Q44" s="249">
        <f t="shared" si="11"/>
        <v>7.5437999999999992</v>
      </c>
      <c r="R44" s="279">
        <v>838.2</v>
      </c>
      <c r="S44" s="247"/>
      <c r="T44" s="280"/>
      <c r="U44" s="247"/>
    </row>
    <row r="45" spans="1:21" x14ac:dyDescent="0.2">
      <c r="A45" s="195" t="s">
        <v>378</v>
      </c>
      <c r="B45" s="196"/>
      <c r="C45" s="196" t="s">
        <v>17</v>
      </c>
      <c r="D45" s="196"/>
      <c r="E45" s="211" t="s">
        <v>385</v>
      </c>
      <c r="F45" s="272">
        <f t="shared" si="8"/>
        <v>0.52121212121212124</v>
      </c>
      <c r="G45" s="227">
        <v>0.43</v>
      </c>
      <c r="H45" s="208">
        <f t="shared" si="2"/>
        <v>60.465116279069768</v>
      </c>
      <c r="I45" s="209">
        <f t="shared" si="9"/>
        <v>298.70000000000005</v>
      </c>
      <c r="J45" s="270">
        <f t="shared" si="10"/>
        <v>20</v>
      </c>
      <c r="K45" s="210">
        <v>10.3</v>
      </c>
      <c r="L45" s="271">
        <v>33</v>
      </c>
      <c r="N45" s="244">
        <v>0.28100000000000003</v>
      </c>
      <c r="O45" s="245">
        <v>0.313</v>
      </c>
      <c r="P45" s="249">
        <f>IF(O45&lt;&gt;"",MROUND(O45*64,Param_DSC!$C$60),"")</f>
        <v>20</v>
      </c>
      <c r="Q45" s="249">
        <f t="shared" si="11"/>
        <v>7.9501999999999997</v>
      </c>
      <c r="R45" s="279">
        <v>838.2</v>
      </c>
      <c r="S45" s="247"/>
      <c r="T45" s="280"/>
      <c r="U45" s="247"/>
    </row>
    <row r="46" spans="1:21" x14ac:dyDescent="0.2">
      <c r="A46" s="195" t="s">
        <v>378</v>
      </c>
      <c r="B46" s="196"/>
      <c r="C46" s="196" t="s">
        <v>17</v>
      </c>
      <c r="D46" s="196"/>
      <c r="E46" s="211" t="s">
        <v>386</v>
      </c>
      <c r="F46" s="272">
        <f t="shared" si="8"/>
        <v>0.45696969696969697</v>
      </c>
      <c r="G46" s="227">
        <v>0.377</v>
      </c>
      <c r="H46" s="208">
        <f t="shared" si="2"/>
        <v>68.965517241379317</v>
      </c>
      <c r="I46" s="209">
        <f t="shared" si="9"/>
        <v>313.20000000000005</v>
      </c>
      <c r="J46" s="270">
        <f t="shared" si="10"/>
        <v>21</v>
      </c>
      <c r="K46" s="210">
        <v>10.8</v>
      </c>
      <c r="L46" s="271">
        <v>33</v>
      </c>
      <c r="N46" s="244">
        <v>0.29599999999999999</v>
      </c>
      <c r="O46" s="245">
        <v>0.32800000000000001</v>
      </c>
      <c r="P46" s="249">
        <f>IF(O46&lt;&gt;"",MROUND(O46*64,Param_DSC!$C$60),"")</f>
        <v>21</v>
      </c>
      <c r="Q46" s="249">
        <f t="shared" si="11"/>
        <v>8.3311999999999991</v>
      </c>
      <c r="R46" s="279">
        <v>838.2</v>
      </c>
      <c r="S46" s="247"/>
      <c r="T46" s="280"/>
      <c r="U46" s="247"/>
    </row>
    <row r="47" spans="1:21" x14ac:dyDescent="0.2">
      <c r="A47" s="195" t="s">
        <v>378</v>
      </c>
      <c r="B47" s="196"/>
      <c r="C47" s="196" t="s">
        <v>17</v>
      </c>
      <c r="D47" s="196"/>
      <c r="E47" s="211" t="s">
        <v>387</v>
      </c>
      <c r="F47" s="272">
        <f t="shared" si="8"/>
        <v>0.4303030303030303</v>
      </c>
      <c r="G47" s="227">
        <v>0.35499999999999998</v>
      </c>
      <c r="H47" s="208">
        <f t="shared" si="2"/>
        <v>73.239436619718319</v>
      </c>
      <c r="I47" s="209">
        <f t="shared" si="9"/>
        <v>336.4</v>
      </c>
      <c r="J47" s="270">
        <f t="shared" si="10"/>
        <v>22</v>
      </c>
      <c r="K47" s="210">
        <v>11.6</v>
      </c>
      <c r="L47" s="271">
        <v>33</v>
      </c>
      <c r="N47" s="244">
        <v>0.312</v>
      </c>
      <c r="O47" s="245">
        <v>0.34399999999999997</v>
      </c>
      <c r="P47" s="249">
        <f>IF(O47&lt;&gt;"",MROUND(O47*64,Param_DSC!$C$60),"")</f>
        <v>22</v>
      </c>
      <c r="Q47" s="249">
        <f t="shared" si="11"/>
        <v>8.7375999999999987</v>
      </c>
      <c r="R47" s="279">
        <v>838.2</v>
      </c>
      <c r="S47" s="247"/>
      <c r="T47" s="280"/>
      <c r="U47" s="247"/>
    </row>
    <row r="48" spans="1:21" x14ac:dyDescent="0.2">
      <c r="A48" s="195" t="s">
        <v>378</v>
      </c>
      <c r="B48" s="196"/>
      <c r="C48" s="196" t="s">
        <v>18</v>
      </c>
      <c r="D48" s="196"/>
      <c r="E48" s="211" t="s">
        <v>402</v>
      </c>
      <c r="F48" s="272">
        <f t="shared" si="8"/>
        <v>1</v>
      </c>
      <c r="G48" s="227">
        <v>0.82499999999999996</v>
      </c>
      <c r="H48" s="208">
        <f t="shared" si="2"/>
        <v>31.515151515151516</v>
      </c>
      <c r="I48" s="209">
        <f t="shared" si="9"/>
        <v>150.80000000000001</v>
      </c>
      <c r="J48" s="270">
        <f t="shared" si="10"/>
        <v>14</v>
      </c>
      <c r="K48" s="210">
        <v>5.2</v>
      </c>
      <c r="L48" s="271">
        <v>33</v>
      </c>
      <c r="N48" s="244">
        <v>0.16500000000000001</v>
      </c>
      <c r="O48" s="245">
        <v>0.21099999999999999</v>
      </c>
      <c r="P48" s="249">
        <f>IF(O48&lt;&gt;"",MROUND(O48*64,Param_DSC!$C$60),"")</f>
        <v>13.5</v>
      </c>
      <c r="Q48" s="249">
        <f t="shared" si="11"/>
        <v>5.3593999999999999</v>
      </c>
      <c r="R48" s="279">
        <v>838.2</v>
      </c>
      <c r="S48" s="247"/>
      <c r="T48" s="280"/>
      <c r="U48" s="247"/>
    </row>
    <row r="49" spans="1:21" x14ac:dyDescent="0.2">
      <c r="A49" s="195" t="s">
        <v>378</v>
      </c>
      <c r="B49" s="196"/>
      <c r="C49" s="196" t="s">
        <v>18</v>
      </c>
      <c r="D49" s="196"/>
      <c r="E49" s="211" t="s">
        <v>403</v>
      </c>
      <c r="F49" s="272">
        <f t="shared" si="8"/>
        <v>1.1006060606060608</v>
      </c>
      <c r="G49" s="227">
        <v>0.90800000000000003</v>
      </c>
      <c r="H49" s="208">
        <f t="shared" si="2"/>
        <v>28.634361233480174</v>
      </c>
      <c r="I49" s="209">
        <f t="shared" si="9"/>
        <v>139.19999999999999</v>
      </c>
      <c r="J49" s="270">
        <f t="shared" si="10"/>
        <v>14</v>
      </c>
      <c r="K49" s="210">
        <v>4.8</v>
      </c>
      <c r="L49" s="271">
        <v>33</v>
      </c>
      <c r="N49" s="244">
        <v>0.16500000000000001</v>
      </c>
      <c r="O49" s="245">
        <v>0.20799999999999999</v>
      </c>
      <c r="P49" s="249">
        <f>IF(O49&lt;&gt;"",MROUND(O49*64,Param_DSC!$C$60),"")</f>
        <v>13.5</v>
      </c>
      <c r="Q49" s="249">
        <f t="shared" si="11"/>
        <v>5.2831999999999999</v>
      </c>
      <c r="R49" s="279">
        <v>838.2</v>
      </c>
      <c r="S49" s="247"/>
      <c r="T49" s="280"/>
      <c r="U49" s="247"/>
    </row>
    <row r="50" spans="1:21" x14ac:dyDescent="0.2">
      <c r="A50" s="195" t="s">
        <v>378</v>
      </c>
      <c r="B50" s="196"/>
      <c r="C50" s="196" t="s">
        <v>18</v>
      </c>
      <c r="D50" s="196"/>
      <c r="E50" s="211" t="s">
        <v>404</v>
      </c>
      <c r="F50" s="272">
        <f t="shared" si="8"/>
        <v>1.3006060606060605</v>
      </c>
      <c r="G50" s="227">
        <v>1.073</v>
      </c>
      <c r="H50" s="208">
        <f t="shared" si="2"/>
        <v>24.231127679403542</v>
      </c>
      <c r="I50" s="209">
        <f t="shared" si="9"/>
        <v>124.69999999999999</v>
      </c>
      <c r="J50" s="270">
        <f t="shared" si="10"/>
        <v>13</v>
      </c>
      <c r="K50" s="210">
        <v>4.3</v>
      </c>
      <c r="L50" s="271">
        <v>33</v>
      </c>
      <c r="N50" s="244">
        <v>0.16500000000000001</v>
      </c>
      <c r="O50" s="245">
        <v>0.20499999999999999</v>
      </c>
      <c r="P50" s="249">
        <f>IF(O50&lt;&gt;"",MROUND(O50*64,Param_DSC!$C$60),"")</f>
        <v>13</v>
      </c>
      <c r="Q50" s="249">
        <f t="shared" si="11"/>
        <v>5.206999999999999</v>
      </c>
      <c r="R50" s="279">
        <v>838.2</v>
      </c>
      <c r="S50" s="247"/>
      <c r="T50" s="280"/>
      <c r="U50" s="247"/>
    </row>
    <row r="51" spans="1:21" x14ac:dyDescent="0.2">
      <c r="A51" s="195" t="s">
        <v>378</v>
      </c>
      <c r="B51" s="196"/>
      <c r="C51" s="196" t="s">
        <v>18</v>
      </c>
      <c r="D51" s="196"/>
      <c r="E51" s="211" t="s">
        <v>397</v>
      </c>
      <c r="F51" s="272">
        <f t="shared" si="8"/>
        <v>0.35030303030303028</v>
      </c>
      <c r="G51" s="227">
        <v>0.28899999999999998</v>
      </c>
      <c r="H51" s="208">
        <f t="shared" si="2"/>
        <v>89.965397923875443</v>
      </c>
      <c r="I51" s="209">
        <f t="shared" si="9"/>
        <v>295.79999999999995</v>
      </c>
      <c r="J51" s="270">
        <f t="shared" si="10"/>
        <v>16</v>
      </c>
      <c r="K51" s="210">
        <v>10.199999999999999</v>
      </c>
      <c r="L51" s="271">
        <v>33</v>
      </c>
      <c r="N51" s="244">
        <v>0.16500000000000001</v>
      </c>
      <c r="O51" s="245">
        <v>0.248</v>
      </c>
      <c r="P51" s="249">
        <f>IF(O51&lt;&gt;"",MROUND(O51*64,Param_DSC!$C$60),"")</f>
        <v>16</v>
      </c>
      <c r="Q51" s="249">
        <f t="shared" si="11"/>
        <v>6.2991999999999999</v>
      </c>
      <c r="R51" s="279">
        <v>838.2</v>
      </c>
      <c r="S51" s="247"/>
      <c r="T51" s="280"/>
      <c r="U51" s="247"/>
    </row>
    <row r="52" spans="1:21" x14ac:dyDescent="0.2">
      <c r="A52" s="195" t="s">
        <v>378</v>
      </c>
      <c r="B52" s="196"/>
      <c r="C52" s="196" t="s">
        <v>18</v>
      </c>
      <c r="D52" s="196"/>
      <c r="E52" s="211" t="s">
        <v>394</v>
      </c>
      <c r="F52" s="272">
        <f t="shared" si="8"/>
        <v>0.36363636363636365</v>
      </c>
      <c r="G52" s="227">
        <v>0.3</v>
      </c>
      <c r="H52" s="208">
        <f t="shared" si="2"/>
        <v>86.666666666666671</v>
      </c>
      <c r="I52" s="209">
        <f t="shared" si="9"/>
        <v>263.89999999999998</v>
      </c>
      <c r="J52" s="270">
        <f t="shared" si="10"/>
        <v>16</v>
      </c>
      <c r="K52" s="210">
        <v>9.1</v>
      </c>
      <c r="L52" s="271">
        <v>33</v>
      </c>
      <c r="N52" s="244">
        <v>0.16500000000000001</v>
      </c>
      <c r="O52" s="245">
        <v>0.23899999999999999</v>
      </c>
      <c r="P52" s="249">
        <f>IF(O52&lt;&gt;"",MROUND(O52*64,Param_DSC!$C$60),"")</f>
        <v>15.5</v>
      </c>
      <c r="Q52" s="249">
        <f t="shared" si="11"/>
        <v>6.0705999999999998</v>
      </c>
      <c r="R52" s="279">
        <v>838.2</v>
      </c>
      <c r="S52" s="247"/>
      <c r="T52" s="280"/>
      <c r="U52" s="247"/>
    </row>
    <row r="53" spans="1:21" x14ac:dyDescent="0.2">
      <c r="A53" s="195" t="s">
        <v>378</v>
      </c>
      <c r="B53" s="196"/>
      <c r="C53" s="196" t="s">
        <v>18</v>
      </c>
      <c r="D53" s="196"/>
      <c r="E53" s="211" t="s">
        <v>399</v>
      </c>
      <c r="F53" s="272">
        <f t="shared" si="8"/>
        <v>0.50060606060606061</v>
      </c>
      <c r="G53" s="227">
        <v>0.41299999999999998</v>
      </c>
      <c r="H53" s="208">
        <f t="shared" si="2"/>
        <v>62.953995157384995</v>
      </c>
      <c r="I53" s="209">
        <f t="shared" si="9"/>
        <v>237.79999999999998</v>
      </c>
      <c r="J53" s="270">
        <f t="shared" si="10"/>
        <v>15</v>
      </c>
      <c r="K53" s="210">
        <v>8.1999999999999993</v>
      </c>
      <c r="L53" s="271">
        <v>33</v>
      </c>
      <c r="N53" s="244">
        <v>0.16500000000000001</v>
      </c>
      <c r="O53" s="245">
        <v>0.23300000000000001</v>
      </c>
      <c r="P53" s="249">
        <f>IF(O53&lt;&gt;"",MROUND(O53*64,Param_DSC!$C$60),"")</f>
        <v>15</v>
      </c>
      <c r="Q53" s="249">
        <f t="shared" si="11"/>
        <v>5.9181999999999997</v>
      </c>
      <c r="R53" s="279">
        <v>838.2</v>
      </c>
      <c r="S53" s="247"/>
      <c r="T53" s="280"/>
      <c r="U53" s="247"/>
    </row>
    <row r="54" spans="1:21" x14ac:dyDescent="0.2">
      <c r="A54" s="195" t="s">
        <v>378</v>
      </c>
      <c r="B54" s="196"/>
      <c r="C54" s="196" t="s">
        <v>18</v>
      </c>
      <c r="D54" s="196"/>
      <c r="E54" s="211" t="s">
        <v>395</v>
      </c>
      <c r="F54" s="272">
        <f t="shared" si="8"/>
        <v>0.6</v>
      </c>
      <c r="G54" s="227">
        <v>0.495</v>
      </c>
      <c r="H54" s="208">
        <f t="shared" si="2"/>
        <v>52.525252525252526</v>
      </c>
      <c r="I54" s="209">
        <f t="shared" si="9"/>
        <v>208.8</v>
      </c>
      <c r="J54" s="270">
        <f t="shared" si="10"/>
        <v>15</v>
      </c>
      <c r="K54" s="210">
        <v>7.2</v>
      </c>
      <c r="L54" s="271">
        <v>33</v>
      </c>
      <c r="N54" s="244">
        <v>0.16500000000000001</v>
      </c>
      <c r="O54" s="245">
        <v>0.22600000000000001</v>
      </c>
      <c r="P54" s="249">
        <f>IF(O54&lt;&gt;"",MROUND(O54*64,Param_DSC!$C$60),"")</f>
        <v>14.5</v>
      </c>
      <c r="Q54" s="249">
        <f t="shared" si="11"/>
        <v>5.7404000000000002</v>
      </c>
      <c r="R54" s="279">
        <v>838.2</v>
      </c>
      <c r="S54" s="247"/>
      <c r="T54" s="280"/>
      <c r="U54" s="247"/>
    </row>
    <row r="55" spans="1:21" x14ac:dyDescent="0.2">
      <c r="A55" s="195" t="s">
        <v>378</v>
      </c>
      <c r="B55" s="196"/>
      <c r="C55" s="196" t="s">
        <v>18</v>
      </c>
      <c r="D55" s="196"/>
      <c r="E55" s="211" t="s">
        <v>396</v>
      </c>
      <c r="F55" s="272">
        <f t="shared" si="8"/>
        <v>0.70060606060606057</v>
      </c>
      <c r="G55" s="227">
        <v>0.57799999999999996</v>
      </c>
      <c r="H55" s="208">
        <f t="shared" si="2"/>
        <v>44.982698961937722</v>
      </c>
      <c r="I55" s="209">
        <f t="shared" si="9"/>
        <v>188.5</v>
      </c>
      <c r="J55" s="270">
        <f t="shared" si="10"/>
        <v>14</v>
      </c>
      <c r="K55" s="210">
        <v>6.5</v>
      </c>
      <c r="L55" s="271">
        <v>33</v>
      </c>
      <c r="N55" s="244">
        <v>0.16500000000000001</v>
      </c>
      <c r="O55" s="245">
        <v>0.22</v>
      </c>
      <c r="P55" s="249">
        <f>IF(O55&lt;&gt;"",MROUND(O55*64,Param_DSC!$C$60),"")</f>
        <v>14</v>
      </c>
      <c r="Q55" s="249">
        <f t="shared" si="11"/>
        <v>5.5880000000000001</v>
      </c>
      <c r="R55" s="279">
        <v>838.2</v>
      </c>
      <c r="S55" s="247"/>
      <c r="T55" s="280"/>
      <c r="U55" s="247"/>
    </row>
    <row r="56" spans="1:21" x14ac:dyDescent="0.2">
      <c r="A56" s="195" t="s">
        <v>378</v>
      </c>
      <c r="B56" s="196"/>
      <c r="C56" s="196" t="s">
        <v>18</v>
      </c>
      <c r="D56" s="196"/>
      <c r="E56" s="211" t="s">
        <v>400</v>
      </c>
      <c r="F56" s="272">
        <f t="shared" si="8"/>
        <v>0.8</v>
      </c>
      <c r="G56" s="227">
        <v>0.66</v>
      </c>
      <c r="H56" s="208">
        <f t="shared" si="2"/>
        <v>39.393939393939391</v>
      </c>
      <c r="I56" s="209">
        <f t="shared" si="9"/>
        <v>171.10000000000002</v>
      </c>
      <c r="J56" s="270">
        <f t="shared" si="10"/>
        <v>14</v>
      </c>
      <c r="K56" s="210">
        <v>5.9</v>
      </c>
      <c r="L56" s="271">
        <v>33</v>
      </c>
      <c r="N56" s="244">
        <v>0.16500000000000001</v>
      </c>
      <c r="O56" s="245">
        <v>0.217</v>
      </c>
      <c r="P56" s="249">
        <f>IF(O56&lt;&gt;"",MROUND(O56*64,Param_DSC!$C$60),"")</f>
        <v>14</v>
      </c>
      <c r="Q56" s="249">
        <f t="shared" si="11"/>
        <v>5.5118</v>
      </c>
      <c r="R56" s="279">
        <v>838.2</v>
      </c>
      <c r="S56" s="247"/>
      <c r="T56" s="280"/>
      <c r="U56" s="247"/>
    </row>
    <row r="57" spans="1:21" x14ac:dyDescent="0.2">
      <c r="A57" s="195" t="s">
        <v>378</v>
      </c>
      <c r="B57" s="196"/>
      <c r="C57" s="196" t="s">
        <v>18</v>
      </c>
      <c r="D57" s="196"/>
      <c r="E57" s="211" t="s">
        <v>401</v>
      </c>
      <c r="F57" s="272">
        <f t="shared" si="8"/>
        <v>0.90060606060606063</v>
      </c>
      <c r="G57" s="227">
        <v>0.74299999999999999</v>
      </c>
      <c r="H57" s="208">
        <f t="shared" si="2"/>
        <v>34.99327052489906</v>
      </c>
      <c r="I57" s="209">
        <f t="shared" si="9"/>
        <v>156.60000000000002</v>
      </c>
      <c r="J57" s="270">
        <f t="shared" si="10"/>
        <v>14</v>
      </c>
      <c r="K57" s="210">
        <v>5.4</v>
      </c>
      <c r="L57" s="271">
        <v>33</v>
      </c>
      <c r="N57" s="244">
        <v>0.16500000000000001</v>
      </c>
      <c r="O57" s="245">
        <v>0.21199999999999999</v>
      </c>
      <c r="P57" s="249">
        <f>IF(O57&lt;&gt;"",MROUND(O57*64,Param_DSC!$C$60),"")</f>
        <v>13.5</v>
      </c>
      <c r="Q57" s="249">
        <f t="shared" si="11"/>
        <v>5.3847999999999994</v>
      </c>
      <c r="R57" s="279">
        <v>838.2</v>
      </c>
      <c r="S57" s="247"/>
      <c r="T57" s="280"/>
      <c r="U57" s="247"/>
    </row>
    <row r="58" spans="1:21" x14ac:dyDescent="0.2">
      <c r="A58" s="195" t="s">
        <v>378</v>
      </c>
      <c r="B58" s="196"/>
      <c r="C58" s="196" t="s">
        <v>803</v>
      </c>
      <c r="D58" s="196"/>
      <c r="E58" s="211" t="s">
        <v>388</v>
      </c>
      <c r="F58" s="272">
        <f t="shared" si="8"/>
        <v>0.75030303030303036</v>
      </c>
      <c r="G58" s="227">
        <v>0.61899999999999999</v>
      </c>
      <c r="H58" s="208">
        <f t="shared" si="2"/>
        <v>42.003231017770595</v>
      </c>
      <c r="I58" s="209">
        <f t="shared" si="9"/>
        <v>339.29999999999995</v>
      </c>
      <c r="J58" s="270">
        <f t="shared" si="10"/>
        <v>20</v>
      </c>
      <c r="K58" s="210">
        <v>11.7</v>
      </c>
      <c r="L58" s="271">
        <v>33</v>
      </c>
      <c r="N58" s="244">
        <v>0.246</v>
      </c>
      <c r="O58" s="245">
        <v>0.31</v>
      </c>
      <c r="P58" s="249">
        <f>IF(O58&lt;&gt;"",MROUND(O58*64,Param_DSC!$C$60),"")</f>
        <v>20</v>
      </c>
      <c r="Q58" s="249">
        <f t="shared" si="11"/>
        <v>7.8739999999999997</v>
      </c>
      <c r="R58" s="279">
        <v>838.2</v>
      </c>
      <c r="S58" s="247"/>
      <c r="T58" s="280"/>
      <c r="U58" s="247"/>
    </row>
    <row r="59" spans="1:21" x14ac:dyDescent="0.2">
      <c r="A59" s="195" t="s">
        <v>378</v>
      </c>
      <c r="B59" s="196"/>
      <c r="C59" s="196" t="s">
        <v>18</v>
      </c>
      <c r="D59" s="196"/>
      <c r="E59" s="211" t="s">
        <v>412</v>
      </c>
      <c r="F59" s="272">
        <f t="shared" si="8"/>
        <v>1</v>
      </c>
      <c r="G59" s="227">
        <v>0.82499999999999996</v>
      </c>
      <c r="H59" s="208">
        <f t="shared" si="2"/>
        <v>31.515151515151516</v>
      </c>
      <c r="I59" s="209">
        <f t="shared" si="9"/>
        <v>150.80000000000001</v>
      </c>
      <c r="J59" s="270">
        <f t="shared" si="10"/>
        <v>14</v>
      </c>
      <c r="K59" s="210">
        <v>5.2</v>
      </c>
      <c r="L59" s="271">
        <v>33</v>
      </c>
      <c r="N59" s="244">
        <v>0.16500000000000001</v>
      </c>
      <c r="O59" s="245">
        <v>0.21099999999999999</v>
      </c>
      <c r="P59" s="249">
        <f>IF(O59&lt;&gt;"",MROUND(O59*64,Param_DSC!$C$60),"")</f>
        <v>13.5</v>
      </c>
      <c r="Q59" s="249">
        <f t="shared" si="11"/>
        <v>5.3593999999999999</v>
      </c>
      <c r="R59" s="279">
        <v>838.2</v>
      </c>
      <c r="S59" s="247"/>
      <c r="T59" s="280"/>
      <c r="U59" s="247"/>
    </row>
    <row r="60" spans="1:21" x14ac:dyDescent="0.2">
      <c r="A60" s="195" t="s">
        <v>378</v>
      </c>
      <c r="B60" s="196"/>
      <c r="C60" s="196" t="s">
        <v>18</v>
      </c>
      <c r="D60" s="196"/>
      <c r="E60" s="211" t="s">
        <v>413</v>
      </c>
      <c r="F60" s="272">
        <f t="shared" si="8"/>
        <v>1.1006060606060608</v>
      </c>
      <c r="G60" s="227">
        <v>0.90800000000000003</v>
      </c>
      <c r="H60" s="208">
        <f t="shared" si="2"/>
        <v>28.634361233480174</v>
      </c>
      <c r="I60" s="209">
        <f t="shared" si="9"/>
        <v>139.19999999999999</v>
      </c>
      <c r="J60" s="270">
        <f t="shared" si="10"/>
        <v>14</v>
      </c>
      <c r="K60" s="210">
        <v>4.8</v>
      </c>
      <c r="L60" s="271">
        <v>33</v>
      </c>
      <c r="N60" s="244">
        <v>0.16500000000000001</v>
      </c>
      <c r="O60" s="245">
        <v>0.20799999999999999</v>
      </c>
      <c r="P60" s="249">
        <f>IF(O60&lt;&gt;"",MROUND(O60*64,Param_DSC!$C$60),"")</f>
        <v>13.5</v>
      </c>
      <c r="Q60" s="249">
        <f t="shared" si="11"/>
        <v>5.2831999999999999</v>
      </c>
      <c r="R60" s="279">
        <v>838.2</v>
      </c>
      <c r="S60" s="247"/>
      <c r="T60" s="280"/>
      <c r="U60" s="247"/>
    </row>
    <row r="61" spans="1:21" x14ac:dyDescent="0.2">
      <c r="A61" s="195" t="s">
        <v>378</v>
      </c>
      <c r="B61" s="196"/>
      <c r="C61" s="196" t="s">
        <v>18</v>
      </c>
      <c r="D61" s="196"/>
      <c r="E61" s="211" t="s">
        <v>414</v>
      </c>
      <c r="F61" s="272">
        <f t="shared" si="8"/>
        <v>1.3006060606060605</v>
      </c>
      <c r="G61" s="227">
        <v>1.073</v>
      </c>
      <c r="H61" s="208">
        <f t="shared" si="2"/>
        <v>24.231127679403542</v>
      </c>
      <c r="I61" s="209">
        <f t="shared" si="9"/>
        <v>124.69999999999999</v>
      </c>
      <c r="J61" s="270">
        <f t="shared" si="10"/>
        <v>13</v>
      </c>
      <c r="K61" s="210">
        <v>4.3</v>
      </c>
      <c r="L61" s="271">
        <v>33</v>
      </c>
      <c r="N61" s="244">
        <v>0.16500000000000001</v>
      </c>
      <c r="O61" s="245">
        <v>0.20499999999999999</v>
      </c>
      <c r="P61" s="249">
        <f>IF(O61&lt;&gt;"",MROUND(O61*64,Param_DSC!$C$60),"")</f>
        <v>13</v>
      </c>
      <c r="Q61" s="249">
        <f t="shared" si="11"/>
        <v>5.206999999999999</v>
      </c>
      <c r="R61" s="279">
        <v>838.2</v>
      </c>
      <c r="S61" s="247"/>
      <c r="T61" s="280"/>
      <c r="U61" s="247"/>
    </row>
    <row r="62" spans="1:21" x14ac:dyDescent="0.2">
      <c r="A62" s="195" t="s">
        <v>378</v>
      </c>
      <c r="B62" s="196"/>
      <c r="C62" s="196" t="s">
        <v>18</v>
      </c>
      <c r="D62" s="196"/>
      <c r="E62" s="211" t="s">
        <v>405</v>
      </c>
      <c r="F62" s="272">
        <f t="shared" si="8"/>
        <v>0.35030303030303028</v>
      </c>
      <c r="G62" s="227">
        <v>0.28899999999999998</v>
      </c>
      <c r="H62" s="208">
        <f t="shared" si="2"/>
        <v>89.965397923875443</v>
      </c>
      <c r="I62" s="209">
        <f t="shared" si="9"/>
        <v>295.79999999999995</v>
      </c>
      <c r="J62" s="270">
        <f t="shared" si="10"/>
        <v>16</v>
      </c>
      <c r="K62" s="210">
        <v>10.199999999999999</v>
      </c>
      <c r="L62" s="271">
        <v>33</v>
      </c>
      <c r="N62" s="244">
        <v>0.16500000000000001</v>
      </c>
      <c r="O62" s="245">
        <v>0.248</v>
      </c>
      <c r="P62" s="249">
        <f>IF(O62&lt;&gt;"",MROUND(O62*64,Param_DSC!$C$60),"")</f>
        <v>16</v>
      </c>
      <c r="Q62" s="249">
        <f t="shared" si="11"/>
        <v>6.2991999999999999</v>
      </c>
      <c r="R62" s="279">
        <v>838.2</v>
      </c>
      <c r="S62" s="247"/>
      <c r="T62" s="280"/>
      <c r="U62" s="247"/>
    </row>
    <row r="63" spans="1:21" x14ac:dyDescent="0.2">
      <c r="A63" s="195" t="s">
        <v>378</v>
      </c>
      <c r="B63" s="196"/>
      <c r="C63" s="196" t="s">
        <v>18</v>
      </c>
      <c r="D63" s="196"/>
      <c r="E63" s="211" t="s">
        <v>406</v>
      </c>
      <c r="F63" s="272">
        <f t="shared" si="8"/>
        <v>0.36363636363636365</v>
      </c>
      <c r="G63" s="227">
        <v>0.3</v>
      </c>
      <c r="H63" s="208">
        <f t="shared" si="2"/>
        <v>86.666666666666671</v>
      </c>
      <c r="I63" s="209">
        <f t="shared" si="9"/>
        <v>263.89999999999998</v>
      </c>
      <c r="J63" s="270">
        <f t="shared" si="10"/>
        <v>16</v>
      </c>
      <c r="K63" s="210">
        <v>9.1</v>
      </c>
      <c r="L63" s="271">
        <v>33</v>
      </c>
      <c r="N63" s="244">
        <v>0.16500000000000001</v>
      </c>
      <c r="O63" s="245">
        <v>0.23899999999999999</v>
      </c>
      <c r="P63" s="249">
        <f>IF(O63&lt;&gt;"",MROUND(O63*64,Param_DSC!$C$60),"")</f>
        <v>15.5</v>
      </c>
      <c r="Q63" s="249">
        <f t="shared" si="11"/>
        <v>6.0705999999999998</v>
      </c>
      <c r="R63" s="279">
        <v>838.2</v>
      </c>
      <c r="S63" s="247"/>
      <c r="T63" s="280"/>
      <c r="U63" s="247"/>
    </row>
    <row r="64" spans="1:21" x14ac:dyDescent="0.2">
      <c r="A64" s="195" t="s">
        <v>378</v>
      </c>
      <c r="B64" s="196"/>
      <c r="C64" s="196" t="s">
        <v>18</v>
      </c>
      <c r="D64" s="196"/>
      <c r="E64" s="211" t="s">
        <v>407</v>
      </c>
      <c r="F64" s="272">
        <f t="shared" si="8"/>
        <v>0.50060606060606061</v>
      </c>
      <c r="G64" s="227">
        <v>0.41299999999999998</v>
      </c>
      <c r="H64" s="208">
        <f t="shared" si="2"/>
        <v>62.953995157384995</v>
      </c>
      <c r="I64" s="209">
        <f t="shared" si="9"/>
        <v>237.79999999999998</v>
      </c>
      <c r="J64" s="270">
        <f t="shared" si="10"/>
        <v>15</v>
      </c>
      <c r="K64" s="210">
        <v>8.1999999999999993</v>
      </c>
      <c r="L64" s="271">
        <v>33</v>
      </c>
      <c r="N64" s="244">
        <v>0.16500000000000001</v>
      </c>
      <c r="O64" s="245">
        <v>0.23300000000000001</v>
      </c>
      <c r="P64" s="249">
        <f>IF(O64&lt;&gt;"",MROUND(O64*64,Param_DSC!$C$60),"")</f>
        <v>15</v>
      </c>
      <c r="Q64" s="249">
        <f t="shared" si="11"/>
        <v>5.9181999999999997</v>
      </c>
      <c r="R64" s="279">
        <v>838.2</v>
      </c>
      <c r="S64" s="247"/>
      <c r="T64" s="280"/>
      <c r="U64" s="247"/>
    </row>
    <row r="65" spans="1:21" x14ac:dyDescent="0.2">
      <c r="A65" s="195" t="s">
        <v>378</v>
      </c>
      <c r="B65" s="196"/>
      <c r="C65" s="196" t="s">
        <v>18</v>
      </c>
      <c r="D65" s="196"/>
      <c r="E65" s="211" t="s">
        <v>408</v>
      </c>
      <c r="F65" s="272">
        <f t="shared" si="8"/>
        <v>0.6</v>
      </c>
      <c r="G65" s="227">
        <v>0.495</v>
      </c>
      <c r="H65" s="208">
        <f t="shared" si="2"/>
        <v>52.525252525252526</v>
      </c>
      <c r="I65" s="209">
        <f t="shared" si="9"/>
        <v>208.8</v>
      </c>
      <c r="J65" s="270">
        <f t="shared" si="10"/>
        <v>15</v>
      </c>
      <c r="K65" s="210">
        <v>7.2</v>
      </c>
      <c r="L65" s="271">
        <v>33</v>
      </c>
      <c r="N65" s="244">
        <v>0.16500000000000001</v>
      </c>
      <c r="O65" s="245">
        <v>0.22600000000000001</v>
      </c>
      <c r="P65" s="249">
        <f>IF(O65&lt;&gt;"",MROUND(O65*64,Param_DSC!$C$60),"")</f>
        <v>14.5</v>
      </c>
      <c r="Q65" s="249">
        <f t="shared" si="11"/>
        <v>5.7404000000000002</v>
      </c>
      <c r="R65" s="279">
        <v>838.2</v>
      </c>
      <c r="S65" s="247"/>
      <c r="T65" s="280"/>
      <c r="U65" s="247"/>
    </row>
    <row r="66" spans="1:21" x14ac:dyDescent="0.2">
      <c r="A66" s="195" t="s">
        <v>378</v>
      </c>
      <c r="B66" s="196"/>
      <c r="C66" s="196" t="s">
        <v>18</v>
      </c>
      <c r="D66" s="196"/>
      <c r="E66" s="211" t="s">
        <v>409</v>
      </c>
      <c r="F66" s="272">
        <f t="shared" si="8"/>
        <v>0.70060606060606057</v>
      </c>
      <c r="G66" s="227">
        <v>0.57799999999999996</v>
      </c>
      <c r="H66" s="208">
        <f t="shared" si="2"/>
        <v>44.982698961937722</v>
      </c>
      <c r="I66" s="209">
        <f t="shared" si="9"/>
        <v>188.5</v>
      </c>
      <c r="J66" s="270">
        <f t="shared" si="10"/>
        <v>14</v>
      </c>
      <c r="K66" s="210">
        <v>6.5</v>
      </c>
      <c r="L66" s="271">
        <v>33</v>
      </c>
      <c r="N66" s="244">
        <v>0.16500000000000001</v>
      </c>
      <c r="O66" s="245">
        <v>0.22</v>
      </c>
      <c r="P66" s="249">
        <f>IF(O66&lt;&gt;"",MROUND(O66*64,Param_DSC!$C$60),"")</f>
        <v>14</v>
      </c>
      <c r="Q66" s="249">
        <f t="shared" si="11"/>
        <v>5.5880000000000001</v>
      </c>
      <c r="R66" s="279">
        <v>838.2</v>
      </c>
      <c r="S66" s="247"/>
      <c r="T66" s="280"/>
      <c r="U66" s="247"/>
    </row>
    <row r="67" spans="1:21" x14ac:dyDescent="0.2">
      <c r="A67" s="195" t="s">
        <v>378</v>
      </c>
      <c r="B67" s="196"/>
      <c r="C67" s="196" t="s">
        <v>18</v>
      </c>
      <c r="D67" s="196"/>
      <c r="E67" s="211" t="s">
        <v>410</v>
      </c>
      <c r="F67" s="272">
        <f t="shared" si="8"/>
        <v>0.8</v>
      </c>
      <c r="G67" s="227">
        <v>0.66</v>
      </c>
      <c r="H67" s="208">
        <f t="shared" si="2"/>
        <v>39.393939393939391</v>
      </c>
      <c r="I67" s="209">
        <f t="shared" si="9"/>
        <v>171.10000000000002</v>
      </c>
      <c r="J67" s="270">
        <f t="shared" si="10"/>
        <v>14</v>
      </c>
      <c r="K67" s="210">
        <v>5.9</v>
      </c>
      <c r="L67" s="271">
        <v>33</v>
      </c>
      <c r="N67" s="244">
        <v>0.16500000000000001</v>
      </c>
      <c r="O67" s="245">
        <v>0.217</v>
      </c>
      <c r="P67" s="249">
        <f>IF(O67&lt;&gt;"",MROUND(O67*64,Param_DSC!$C$60),"")</f>
        <v>14</v>
      </c>
      <c r="Q67" s="249">
        <f t="shared" si="11"/>
        <v>5.5118</v>
      </c>
      <c r="R67" s="279">
        <v>838.2</v>
      </c>
      <c r="S67" s="247"/>
      <c r="T67" s="280"/>
      <c r="U67" s="247"/>
    </row>
    <row r="68" spans="1:21" x14ac:dyDescent="0.2">
      <c r="A68" s="195" t="s">
        <v>378</v>
      </c>
      <c r="B68" s="196"/>
      <c r="C68" s="196" t="s">
        <v>18</v>
      </c>
      <c r="D68" s="196"/>
      <c r="E68" s="211" t="s">
        <v>411</v>
      </c>
      <c r="F68" s="272">
        <f t="shared" si="8"/>
        <v>0.90060606060606063</v>
      </c>
      <c r="G68" s="227">
        <v>0.74299999999999999</v>
      </c>
      <c r="H68" s="208">
        <f t="shared" si="2"/>
        <v>34.99327052489906</v>
      </c>
      <c r="I68" s="209">
        <f t="shared" si="9"/>
        <v>156.60000000000002</v>
      </c>
      <c r="J68" s="270">
        <f t="shared" si="10"/>
        <v>14</v>
      </c>
      <c r="K68" s="210">
        <v>5.4</v>
      </c>
      <c r="L68" s="271">
        <v>33</v>
      </c>
      <c r="N68" s="244">
        <v>0.16500000000000001</v>
      </c>
      <c r="O68" s="245">
        <v>0.21199999999999999</v>
      </c>
      <c r="P68" s="249">
        <f>IF(O68&lt;&gt;"",MROUND(O68*64,Param_DSC!$C$60),"")</f>
        <v>13.5</v>
      </c>
      <c r="Q68" s="249">
        <f t="shared" si="11"/>
        <v>5.3847999999999994</v>
      </c>
      <c r="R68" s="279">
        <v>838.2</v>
      </c>
      <c r="S68" s="247"/>
      <c r="T68" s="280"/>
      <c r="U68" s="247"/>
    </row>
    <row r="69" spans="1:21" x14ac:dyDescent="0.2">
      <c r="A69" s="195" t="s">
        <v>378</v>
      </c>
      <c r="B69" s="196"/>
      <c r="C69" s="196" t="s">
        <v>854</v>
      </c>
      <c r="D69" s="196"/>
      <c r="E69" s="211" t="s">
        <v>389</v>
      </c>
      <c r="F69" s="272">
        <f t="shared" si="8"/>
        <v>0.50060606060606061</v>
      </c>
      <c r="G69" s="227">
        <v>0.41299999999999998</v>
      </c>
      <c r="H69" s="208">
        <f t="shared" ref="H69:H132" si="12">26/G69</f>
        <v>62.953995157384995</v>
      </c>
      <c r="I69" s="209">
        <f t="shared" ref="I69:I100" si="13">K69*29</f>
        <v>223.3</v>
      </c>
      <c r="J69" s="270">
        <f t="shared" ref="J69:J100" si="14">ROUND(P69,0)</f>
        <v>19</v>
      </c>
      <c r="K69" s="210">
        <v>7.7</v>
      </c>
      <c r="L69" s="271">
        <v>33</v>
      </c>
      <c r="N69" s="244">
        <v>0.246</v>
      </c>
      <c r="O69" s="245">
        <v>0.28699999999999998</v>
      </c>
      <c r="P69" s="249">
        <f>IF(O69&lt;&gt;"",MROUND(O69*64,Param_DSC!$C$60),"")</f>
        <v>18.5</v>
      </c>
      <c r="Q69" s="249">
        <f t="shared" ref="Q69:Q78" si="15">IF(O69&lt;&gt;"",O69*25.4,"")</f>
        <v>7.2897999999999987</v>
      </c>
      <c r="R69" s="279">
        <v>838.2</v>
      </c>
      <c r="S69" s="247"/>
      <c r="T69" s="280"/>
      <c r="U69" s="247"/>
    </row>
    <row r="70" spans="1:21" x14ac:dyDescent="0.2">
      <c r="A70" s="195" t="s">
        <v>378</v>
      </c>
      <c r="B70" s="196"/>
      <c r="C70" s="196" t="s">
        <v>18</v>
      </c>
      <c r="D70" s="196"/>
      <c r="E70" s="211" t="s">
        <v>794</v>
      </c>
      <c r="F70" s="272">
        <f t="shared" si="8"/>
        <v>0.4</v>
      </c>
      <c r="G70" s="227">
        <v>0.33</v>
      </c>
      <c r="H70" s="208">
        <f t="shared" si="12"/>
        <v>78.787878787878782</v>
      </c>
      <c r="I70" s="209">
        <f t="shared" si="13"/>
        <v>200.10000000000002</v>
      </c>
      <c r="J70" s="270">
        <f t="shared" si="14"/>
        <v>14</v>
      </c>
      <c r="K70" s="210">
        <v>6.9</v>
      </c>
      <c r="L70" s="271">
        <v>33</v>
      </c>
      <c r="N70" s="244">
        <v>0.16500000000000001</v>
      </c>
      <c r="O70" s="245">
        <v>0.222</v>
      </c>
      <c r="P70" s="249">
        <f>IF(O70&lt;&gt;"",MROUND(O70*64,Param_DSC!$C$60),"")</f>
        <v>14</v>
      </c>
      <c r="Q70" s="249">
        <f t="shared" si="15"/>
        <v>5.6387999999999998</v>
      </c>
      <c r="R70" s="279">
        <v>838.2</v>
      </c>
      <c r="S70" s="247"/>
      <c r="T70" s="280"/>
      <c r="U70" s="247"/>
    </row>
    <row r="71" spans="1:21" x14ac:dyDescent="0.2">
      <c r="A71" s="195" t="s">
        <v>378</v>
      </c>
      <c r="B71" s="196"/>
      <c r="C71" s="196" t="s">
        <v>18</v>
      </c>
      <c r="D71" s="196"/>
      <c r="E71" s="211" t="s">
        <v>795</v>
      </c>
      <c r="F71" s="272">
        <f t="shared" si="8"/>
        <v>0.44969696969696971</v>
      </c>
      <c r="G71" s="227">
        <v>0.371</v>
      </c>
      <c r="H71" s="208">
        <f t="shared" si="12"/>
        <v>70.080862533692724</v>
      </c>
      <c r="I71" s="209">
        <f t="shared" si="13"/>
        <v>185.60000000000002</v>
      </c>
      <c r="J71" s="270">
        <f t="shared" si="14"/>
        <v>14</v>
      </c>
      <c r="K71" s="210">
        <v>6.4</v>
      </c>
      <c r="L71" s="271">
        <v>33</v>
      </c>
      <c r="N71" s="244">
        <v>0.16500000000000001</v>
      </c>
      <c r="O71" s="245">
        <v>0.219</v>
      </c>
      <c r="P71" s="249">
        <f>IF(O71&lt;&gt;"",MROUND(O71*64,Param_DSC!$C$60),"")</f>
        <v>14</v>
      </c>
      <c r="Q71" s="249">
        <f t="shared" si="15"/>
        <v>5.5625999999999998</v>
      </c>
      <c r="R71" s="279">
        <v>838.2</v>
      </c>
      <c r="S71" s="247"/>
      <c r="T71" s="280"/>
      <c r="U71" s="247"/>
    </row>
    <row r="72" spans="1:21" x14ac:dyDescent="0.2">
      <c r="A72" s="195" t="s">
        <v>378</v>
      </c>
      <c r="B72" s="196"/>
      <c r="C72" s="196" t="s">
        <v>18</v>
      </c>
      <c r="D72" s="196"/>
      <c r="E72" s="211" t="s">
        <v>796</v>
      </c>
      <c r="F72" s="272">
        <f t="shared" si="8"/>
        <v>0.50060606060606061</v>
      </c>
      <c r="G72" s="227">
        <v>0.41299999999999998</v>
      </c>
      <c r="H72" s="208">
        <f t="shared" si="12"/>
        <v>62.953995157384995</v>
      </c>
      <c r="I72" s="209">
        <f t="shared" si="13"/>
        <v>174</v>
      </c>
      <c r="J72" s="270">
        <f t="shared" si="14"/>
        <v>14</v>
      </c>
      <c r="K72" s="210">
        <v>6</v>
      </c>
      <c r="L72" s="271">
        <v>33</v>
      </c>
      <c r="N72" s="244">
        <v>0.16500000000000001</v>
      </c>
      <c r="O72" s="245">
        <v>0.215</v>
      </c>
      <c r="P72" s="249">
        <f>IF(O72&lt;&gt;"",MROUND(O72*64,Param_DSC!$C$60),"")</f>
        <v>14</v>
      </c>
      <c r="Q72" s="249">
        <f t="shared" si="15"/>
        <v>5.4609999999999994</v>
      </c>
      <c r="R72" s="279">
        <v>838.2</v>
      </c>
      <c r="S72" s="247"/>
      <c r="T72" s="280"/>
      <c r="U72" s="247"/>
    </row>
    <row r="73" spans="1:21" x14ac:dyDescent="0.2">
      <c r="A73" s="195" t="s">
        <v>378</v>
      </c>
      <c r="B73" s="196"/>
      <c r="C73" s="196" t="s">
        <v>18</v>
      </c>
      <c r="D73" s="196"/>
      <c r="E73" s="211" t="s">
        <v>797</v>
      </c>
      <c r="F73" s="272">
        <f t="shared" si="8"/>
        <v>0.5503030303030304</v>
      </c>
      <c r="G73" s="227">
        <v>0.45400000000000001</v>
      </c>
      <c r="H73" s="208">
        <f t="shared" si="12"/>
        <v>57.268722466960348</v>
      </c>
      <c r="I73" s="209">
        <f t="shared" si="13"/>
        <v>162.39999999999998</v>
      </c>
      <c r="J73" s="270">
        <f t="shared" si="14"/>
        <v>14</v>
      </c>
      <c r="K73" s="210">
        <v>5.6</v>
      </c>
      <c r="L73" s="271">
        <v>33</v>
      </c>
      <c r="N73" s="244">
        <v>0.16500000000000001</v>
      </c>
      <c r="O73" s="245">
        <v>0.21299999999999999</v>
      </c>
      <c r="P73" s="249">
        <f>IF(O73&lt;&gt;"",MROUND(O73*64,Param_DSC!$C$60),"")</f>
        <v>13.5</v>
      </c>
      <c r="Q73" s="249">
        <f t="shared" si="15"/>
        <v>5.4101999999999997</v>
      </c>
      <c r="R73" s="279">
        <v>838.2</v>
      </c>
      <c r="S73" s="247"/>
      <c r="T73" s="280"/>
      <c r="U73" s="247"/>
    </row>
    <row r="74" spans="1:21" x14ac:dyDescent="0.2">
      <c r="A74" s="195" t="s">
        <v>378</v>
      </c>
      <c r="B74" s="196"/>
      <c r="C74" s="196" t="s">
        <v>18</v>
      </c>
      <c r="D74" s="196"/>
      <c r="E74" s="211" t="s">
        <v>798</v>
      </c>
      <c r="F74" s="272">
        <f t="shared" si="8"/>
        <v>0.6</v>
      </c>
      <c r="G74" s="227">
        <v>0.495</v>
      </c>
      <c r="H74" s="208">
        <f t="shared" si="12"/>
        <v>52.525252525252526</v>
      </c>
      <c r="I74" s="209">
        <f t="shared" si="13"/>
        <v>153.69999999999999</v>
      </c>
      <c r="J74" s="270">
        <f t="shared" si="14"/>
        <v>14</v>
      </c>
      <c r="K74" s="210">
        <v>5.3</v>
      </c>
      <c r="L74" s="271">
        <v>33</v>
      </c>
      <c r="N74" s="244">
        <v>0.16500000000000001</v>
      </c>
      <c r="O74" s="245">
        <v>0.21</v>
      </c>
      <c r="P74" s="249">
        <f>IF(O74&lt;&gt;"",MROUND(O74*64,Param_DSC!$C$60),"")</f>
        <v>13.5</v>
      </c>
      <c r="Q74" s="249">
        <f t="shared" si="15"/>
        <v>5.3339999999999996</v>
      </c>
      <c r="R74" s="279">
        <v>838.2</v>
      </c>
      <c r="S74" s="247"/>
      <c r="T74" s="280"/>
      <c r="U74" s="247"/>
    </row>
    <row r="75" spans="1:21" x14ac:dyDescent="0.2">
      <c r="A75" s="195" t="s">
        <v>378</v>
      </c>
      <c r="B75" s="196"/>
      <c r="C75" s="196" t="s">
        <v>18</v>
      </c>
      <c r="D75" s="196"/>
      <c r="E75" s="211" t="s">
        <v>799</v>
      </c>
      <c r="F75" s="272">
        <f t="shared" si="8"/>
        <v>0.65090909090909099</v>
      </c>
      <c r="G75" s="227">
        <v>0.53700000000000003</v>
      </c>
      <c r="H75" s="208">
        <f t="shared" si="12"/>
        <v>48.417132216014892</v>
      </c>
      <c r="I75" s="209">
        <f t="shared" si="13"/>
        <v>145</v>
      </c>
      <c r="J75" s="270">
        <f t="shared" si="14"/>
        <v>14</v>
      </c>
      <c r="K75" s="210">
        <v>5</v>
      </c>
      <c r="L75" s="271">
        <v>33</v>
      </c>
      <c r="N75" s="244">
        <v>0.16500000000000001</v>
      </c>
      <c r="O75" s="245">
        <v>0.20799999999999999</v>
      </c>
      <c r="P75" s="249">
        <f>IF(O75&lt;&gt;"",MROUND(O75*64,Param_DSC!$C$60),"")</f>
        <v>13.5</v>
      </c>
      <c r="Q75" s="249">
        <f t="shared" si="15"/>
        <v>5.2831999999999999</v>
      </c>
      <c r="R75" s="279">
        <v>838.2</v>
      </c>
      <c r="S75" s="247"/>
      <c r="T75" s="280"/>
      <c r="U75" s="247"/>
    </row>
    <row r="76" spans="1:21" x14ac:dyDescent="0.2">
      <c r="A76" s="195" t="s">
        <v>378</v>
      </c>
      <c r="B76" s="196"/>
      <c r="C76" s="196" t="s">
        <v>18</v>
      </c>
      <c r="D76" s="196"/>
      <c r="E76" s="211" t="s">
        <v>800</v>
      </c>
      <c r="F76" s="272">
        <f t="shared" si="8"/>
        <v>0.70060606060606057</v>
      </c>
      <c r="G76" s="227">
        <v>0.57799999999999996</v>
      </c>
      <c r="H76" s="208">
        <f t="shared" si="12"/>
        <v>44.982698961937722</v>
      </c>
      <c r="I76" s="209">
        <f t="shared" si="13"/>
        <v>139.19999999999999</v>
      </c>
      <c r="J76" s="270">
        <f t="shared" si="14"/>
        <v>13</v>
      </c>
      <c r="K76" s="210">
        <v>4.8</v>
      </c>
      <c r="L76" s="271">
        <v>33</v>
      </c>
      <c r="N76" s="244">
        <v>0.16500000000000001</v>
      </c>
      <c r="O76" s="245">
        <v>0.20699999999999999</v>
      </c>
      <c r="P76" s="249">
        <f>IF(O76&lt;&gt;"",MROUND(O76*64,Param_DSC!$C$60),"")</f>
        <v>13</v>
      </c>
      <c r="Q76" s="249">
        <f t="shared" si="15"/>
        <v>5.2577999999999996</v>
      </c>
      <c r="R76" s="279">
        <v>838.2</v>
      </c>
      <c r="S76" s="247"/>
      <c r="T76" s="280"/>
      <c r="U76" s="247"/>
    </row>
    <row r="77" spans="1:21" x14ac:dyDescent="0.2">
      <c r="A77" s="195" t="s">
        <v>378</v>
      </c>
      <c r="B77" s="196"/>
      <c r="C77" s="196" t="s">
        <v>18</v>
      </c>
      <c r="D77" s="196"/>
      <c r="E77" s="211" t="s">
        <v>801</v>
      </c>
      <c r="F77" s="272">
        <f t="shared" si="8"/>
        <v>0.75030303030303036</v>
      </c>
      <c r="G77" s="227">
        <v>0.61899999999999999</v>
      </c>
      <c r="H77" s="208">
        <f t="shared" si="12"/>
        <v>42.003231017770595</v>
      </c>
      <c r="I77" s="209">
        <f t="shared" si="13"/>
        <v>130.5</v>
      </c>
      <c r="J77" s="270">
        <f t="shared" si="14"/>
        <v>13</v>
      </c>
      <c r="K77" s="210">
        <v>4.5</v>
      </c>
      <c r="L77" s="271">
        <v>33</v>
      </c>
      <c r="N77" s="244">
        <v>0.16500000000000001</v>
      </c>
      <c r="O77" s="245">
        <v>0.20399999999999999</v>
      </c>
      <c r="P77" s="249">
        <f>IF(O77&lt;&gt;"",MROUND(O77*64,Param_DSC!$C$60),"")</f>
        <v>13</v>
      </c>
      <c r="Q77" s="249">
        <f t="shared" si="15"/>
        <v>5.1815999999999995</v>
      </c>
      <c r="R77" s="279">
        <v>838.2</v>
      </c>
      <c r="S77" s="247"/>
      <c r="T77" s="280"/>
      <c r="U77" s="247"/>
    </row>
    <row r="78" spans="1:21" x14ac:dyDescent="0.2">
      <c r="A78" s="195" t="s">
        <v>378</v>
      </c>
      <c r="B78" s="196"/>
      <c r="C78" s="196" t="s">
        <v>18</v>
      </c>
      <c r="D78" s="196"/>
      <c r="E78" s="211" t="s">
        <v>802</v>
      </c>
      <c r="F78" s="272">
        <f t="shared" si="8"/>
        <v>0.8</v>
      </c>
      <c r="G78" s="227">
        <v>0.66</v>
      </c>
      <c r="H78" s="208">
        <f t="shared" si="12"/>
        <v>39.393939393939391</v>
      </c>
      <c r="I78" s="209">
        <f t="shared" si="13"/>
        <v>130.5</v>
      </c>
      <c r="J78" s="270">
        <f t="shared" si="14"/>
        <v>13</v>
      </c>
      <c r="K78" s="210">
        <v>4.5</v>
      </c>
      <c r="L78" s="271">
        <v>33</v>
      </c>
      <c r="N78" s="244">
        <v>0.16500000000000001</v>
      </c>
      <c r="O78" s="245">
        <v>0.20399999999999999</v>
      </c>
      <c r="P78" s="249">
        <f>IF(O78&lt;&gt;"",MROUND(O78*64,Param_DSC!$C$60),"")</f>
        <v>13</v>
      </c>
      <c r="Q78" s="249">
        <f t="shared" si="15"/>
        <v>5.1815999999999995</v>
      </c>
      <c r="R78" s="279">
        <v>838.2</v>
      </c>
      <c r="S78" s="247"/>
      <c r="T78" s="280"/>
      <c r="U78" s="247"/>
    </row>
    <row r="79" spans="1:21" x14ac:dyDescent="0.2">
      <c r="A79" s="203" t="s">
        <v>597</v>
      </c>
      <c r="B79" s="204"/>
      <c r="C79" s="204" t="s">
        <v>18</v>
      </c>
      <c r="D79" s="204"/>
      <c r="E79" s="211" t="s">
        <v>619</v>
      </c>
      <c r="F79" s="206">
        <v>0.3</v>
      </c>
      <c r="G79" s="207">
        <f t="shared" ref="G79:G142" si="16">F79*0.825</f>
        <v>0.24749999999999997</v>
      </c>
      <c r="H79" s="208">
        <f t="shared" si="12"/>
        <v>105.05050505050507</v>
      </c>
      <c r="I79" s="209">
        <f t="shared" si="13"/>
        <v>268.54000000000002</v>
      </c>
      <c r="J79" s="270">
        <f t="shared" si="14"/>
        <v>19</v>
      </c>
      <c r="K79" s="210">
        <v>9.26</v>
      </c>
      <c r="L79" s="271">
        <v>32</v>
      </c>
      <c r="N79" s="244">
        <f t="shared" ref="N79:N110" si="17">4.45*0.0393700787</f>
        <v>0.17519685021500001</v>
      </c>
      <c r="O79" s="250">
        <f t="shared" ref="O79:O110" si="18">Q79*0.0393700787</f>
        <v>0.29842519654599997</v>
      </c>
      <c r="P79" s="249">
        <f>IF(O79&lt;&gt;"",MROUND(O79*64,Param_DSC!$C$60),"")</f>
        <v>19</v>
      </c>
      <c r="Q79" s="246">
        <v>7.58</v>
      </c>
      <c r="R79" s="249">
        <f t="shared" ref="R79:R142" si="19">L79*25.4</f>
        <v>812.8</v>
      </c>
      <c r="S79" s="280">
        <f>N79</f>
        <v>0.17519685021500001</v>
      </c>
      <c r="T79" s="280">
        <f>O79</f>
        <v>0.29842519654599997</v>
      </c>
      <c r="U79" s="247"/>
    </row>
    <row r="80" spans="1:21" x14ac:dyDescent="0.2">
      <c r="A80" s="203" t="s">
        <v>597</v>
      </c>
      <c r="B80" s="204"/>
      <c r="C80" s="204" t="s">
        <v>18</v>
      </c>
      <c r="D80" s="204"/>
      <c r="E80" s="211" t="s">
        <v>620</v>
      </c>
      <c r="F80" s="206">
        <v>0.4</v>
      </c>
      <c r="G80" s="207">
        <f t="shared" si="16"/>
        <v>0.33</v>
      </c>
      <c r="H80" s="208">
        <f t="shared" si="12"/>
        <v>78.787878787878782</v>
      </c>
      <c r="I80" s="209">
        <f t="shared" si="13"/>
        <v>225.04</v>
      </c>
      <c r="J80" s="270">
        <f t="shared" si="14"/>
        <v>19</v>
      </c>
      <c r="K80" s="210">
        <v>7.76</v>
      </c>
      <c r="L80" s="271">
        <v>32</v>
      </c>
      <c r="N80" s="244">
        <f t="shared" si="17"/>
        <v>0.17519685021500001</v>
      </c>
      <c r="O80" s="250">
        <f t="shared" si="18"/>
        <v>0.29133858237999999</v>
      </c>
      <c r="P80" s="249">
        <f>IF(O80&lt;&gt;"",MROUND(O80*64,Param_DSC!$C$60),"")</f>
        <v>18.5</v>
      </c>
      <c r="Q80" s="246">
        <v>7.4</v>
      </c>
      <c r="R80" s="249">
        <f t="shared" si="19"/>
        <v>812.8</v>
      </c>
      <c r="S80" s="280">
        <f t="shared" ref="S80:S90" si="20">N80</f>
        <v>0.17519685021500001</v>
      </c>
      <c r="T80" s="280">
        <f t="shared" ref="T80:T90" si="21">O80</f>
        <v>0.29133858237999999</v>
      </c>
      <c r="U80" s="247"/>
    </row>
    <row r="81" spans="1:21" x14ac:dyDescent="0.2">
      <c r="A81" s="203" t="s">
        <v>597</v>
      </c>
      <c r="B81" s="204"/>
      <c r="C81" s="204" t="s">
        <v>18</v>
      </c>
      <c r="D81" s="204"/>
      <c r="E81" s="211" t="s">
        <v>621</v>
      </c>
      <c r="F81" s="206">
        <v>0.5</v>
      </c>
      <c r="G81" s="207">
        <f t="shared" si="16"/>
        <v>0.41249999999999998</v>
      </c>
      <c r="H81" s="208">
        <f t="shared" si="12"/>
        <v>63.030303030303031</v>
      </c>
      <c r="I81" s="209">
        <f t="shared" si="13"/>
        <v>203.29</v>
      </c>
      <c r="J81" s="270">
        <f t="shared" si="14"/>
        <v>19</v>
      </c>
      <c r="K81" s="210">
        <v>7.01</v>
      </c>
      <c r="L81" s="271">
        <v>32</v>
      </c>
      <c r="N81" s="244">
        <f t="shared" si="17"/>
        <v>0.17519685021500001</v>
      </c>
      <c r="O81" s="250">
        <f t="shared" si="18"/>
        <v>0.28622047214899998</v>
      </c>
      <c r="P81" s="249">
        <f>IF(O81&lt;&gt;"",MROUND(O81*64,Param_DSC!$C$60),"")</f>
        <v>18.5</v>
      </c>
      <c r="Q81" s="246">
        <v>7.27</v>
      </c>
      <c r="R81" s="249">
        <f t="shared" si="19"/>
        <v>812.8</v>
      </c>
      <c r="S81" s="280">
        <f t="shared" si="20"/>
        <v>0.17519685021500001</v>
      </c>
      <c r="T81" s="280">
        <f t="shared" si="21"/>
        <v>0.28622047214899998</v>
      </c>
      <c r="U81" s="247"/>
    </row>
    <row r="82" spans="1:21" x14ac:dyDescent="0.2">
      <c r="A82" s="203" t="s">
        <v>597</v>
      </c>
      <c r="B82" s="204"/>
      <c r="C82" s="204" t="s">
        <v>18</v>
      </c>
      <c r="D82" s="204"/>
      <c r="E82" s="211" t="s">
        <v>622</v>
      </c>
      <c r="F82" s="206">
        <v>0.6</v>
      </c>
      <c r="G82" s="207">
        <f t="shared" si="16"/>
        <v>0.49499999999999994</v>
      </c>
      <c r="H82" s="208">
        <f t="shared" si="12"/>
        <v>52.525252525252533</v>
      </c>
      <c r="I82" s="209">
        <f t="shared" si="13"/>
        <v>180.09</v>
      </c>
      <c r="J82" s="270">
        <f t="shared" si="14"/>
        <v>18</v>
      </c>
      <c r="K82" s="210">
        <v>6.21</v>
      </c>
      <c r="L82" s="271">
        <v>32</v>
      </c>
      <c r="N82" s="244">
        <f t="shared" si="17"/>
        <v>0.17519685021500001</v>
      </c>
      <c r="O82" s="250">
        <f t="shared" si="18"/>
        <v>0.28267716506599999</v>
      </c>
      <c r="P82" s="249">
        <f>IF(O82&lt;&gt;"",MROUND(O82*64,Param_DSC!$C$60),"")</f>
        <v>18</v>
      </c>
      <c r="Q82" s="246">
        <v>7.18</v>
      </c>
      <c r="R82" s="249">
        <f t="shared" si="19"/>
        <v>812.8</v>
      </c>
      <c r="S82" s="280">
        <f t="shared" si="20"/>
        <v>0.17519685021500001</v>
      </c>
      <c r="T82" s="280">
        <f t="shared" si="21"/>
        <v>0.28267716506599999</v>
      </c>
      <c r="U82" s="247"/>
    </row>
    <row r="83" spans="1:21" x14ac:dyDescent="0.2">
      <c r="A83" s="203" t="s">
        <v>597</v>
      </c>
      <c r="B83" s="204"/>
      <c r="C83" s="204" t="s">
        <v>18</v>
      </c>
      <c r="D83" s="204"/>
      <c r="E83" s="211" t="s">
        <v>623</v>
      </c>
      <c r="F83" s="206">
        <v>0.8</v>
      </c>
      <c r="G83" s="207">
        <f t="shared" si="16"/>
        <v>0.66</v>
      </c>
      <c r="H83" s="208">
        <f t="shared" si="12"/>
        <v>39.393939393939391</v>
      </c>
      <c r="I83" s="209">
        <f t="shared" si="13"/>
        <v>162.10999999999999</v>
      </c>
      <c r="J83" s="270">
        <f t="shared" si="14"/>
        <v>18</v>
      </c>
      <c r="K83" s="210">
        <v>5.59</v>
      </c>
      <c r="L83" s="271">
        <v>32</v>
      </c>
      <c r="M83" s="289"/>
      <c r="N83" s="244">
        <f t="shared" si="17"/>
        <v>0.17519685021500001</v>
      </c>
      <c r="O83" s="250">
        <f t="shared" si="18"/>
        <v>0.279133857983</v>
      </c>
      <c r="P83" s="249">
        <f>IF(O83&lt;&gt;"",MROUND(O83*64,Param_DSC!$C$60),"")</f>
        <v>18</v>
      </c>
      <c r="Q83" s="246">
        <v>7.09</v>
      </c>
      <c r="R83" s="249">
        <f t="shared" si="19"/>
        <v>812.8</v>
      </c>
      <c r="S83" s="280">
        <f t="shared" si="20"/>
        <v>0.17519685021500001</v>
      </c>
      <c r="T83" s="280">
        <f t="shared" si="21"/>
        <v>0.279133857983</v>
      </c>
      <c r="U83" s="247"/>
    </row>
    <row r="84" spans="1:21" x14ac:dyDescent="0.2">
      <c r="A84" s="203" t="s">
        <v>597</v>
      </c>
      <c r="B84" s="204"/>
      <c r="C84" s="204" t="s">
        <v>18</v>
      </c>
      <c r="D84" s="204"/>
      <c r="E84" s="211" t="s">
        <v>639</v>
      </c>
      <c r="F84" s="206">
        <v>0.3</v>
      </c>
      <c r="G84" s="207">
        <f t="shared" si="16"/>
        <v>0.24749999999999997</v>
      </c>
      <c r="H84" s="208">
        <f t="shared" si="12"/>
        <v>105.05050505050507</v>
      </c>
      <c r="I84" s="209">
        <f t="shared" si="13"/>
        <v>265.06</v>
      </c>
      <c r="J84" s="270">
        <f t="shared" si="14"/>
        <v>19</v>
      </c>
      <c r="K84" s="210">
        <v>9.14</v>
      </c>
      <c r="L84" s="271">
        <v>32</v>
      </c>
      <c r="M84" s="289"/>
      <c r="N84" s="244">
        <f t="shared" si="17"/>
        <v>0.17519685021500001</v>
      </c>
      <c r="O84" s="250">
        <f t="shared" si="18"/>
        <v>0.29763779497199999</v>
      </c>
      <c r="P84" s="249">
        <f>IF(O84&lt;&gt;"",MROUND(O84*64,Param_DSC!$C$60),"")</f>
        <v>19</v>
      </c>
      <c r="Q84" s="246">
        <v>7.56</v>
      </c>
      <c r="R84" s="249">
        <f t="shared" si="19"/>
        <v>812.8</v>
      </c>
      <c r="S84" s="280">
        <f t="shared" si="20"/>
        <v>0.17519685021500001</v>
      </c>
      <c r="T84" s="280">
        <f t="shared" si="21"/>
        <v>0.29763779497199999</v>
      </c>
      <c r="U84" s="247"/>
    </row>
    <row r="85" spans="1:21" x14ac:dyDescent="0.2">
      <c r="A85" s="203" t="s">
        <v>597</v>
      </c>
      <c r="B85" s="204"/>
      <c r="C85" s="204" t="s">
        <v>18</v>
      </c>
      <c r="D85" s="204"/>
      <c r="E85" s="211" t="s">
        <v>640</v>
      </c>
      <c r="F85" s="206">
        <v>0.4</v>
      </c>
      <c r="G85" s="207">
        <f t="shared" si="16"/>
        <v>0.33</v>
      </c>
      <c r="H85" s="208">
        <f t="shared" si="12"/>
        <v>78.787878787878782</v>
      </c>
      <c r="I85" s="209">
        <f t="shared" si="13"/>
        <v>222.14000000000001</v>
      </c>
      <c r="J85" s="270">
        <f t="shared" si="14"/>
        <v>19</v>
      </c>
      <c r="K85" s="210">
        <v>7.66</v>
      </c>
      <c r="L85" s="271">
        <v>32</v>
      </c>
      <c r="M85" s="289"/>
      <c r="N85" s="244">
        <f t="shared" si="17"/>
        <v>0.17519685021500001</v>
      </c>
      <c r="O85" s="250">
        <f t="shared" si="18"/>
        <v>0.29055118080600001</v>
      </c>
      <c r="P85" s="249">
        <f>IF(O85&lt;&gt;"",MROUND(O85*64,Param_DSC!$C$60),"")</f>
        <v>18.5</v>
      </c>
      <c r="Q85" s="246">
        <v>7.38</v>
      </c>
      <c r="R85" s="249">
        <f t="shared" si="19"/>
        <v>812.8</v>
      </c>
      <c r="S85" s="280">
        <f t="shared" si="20"/>
        <v>0.17519685021500001</v>
      </c>
      <c r="T85" s="280">
        <f t="shared" si="21"/>
        <v>0.29055118080600001</v>
      </c>
      <c r="U85" s="247"/>
    </row>
    <row r="86" spans="1:21" x14ac:dyDescent="0.2">
      <c r="A86" s="203" t="s">
        <v>597</v>
      </c>
      <c r="B86" s="204"/>
      <c r="C86" s="204" t="s">
        <v>18</v>
      </c>
      <c r="D86" s="204"/>
      <c r="E86" s="211" t="s">
        <v>641</v>
      </c>
      <c r="F86" s="206">
        <v>0.5</v>
      </c>
      <c r="G86" s="207">
        <f t="shared" si="16"/>
        <v>0.41249999999999998</v>
      </c>
      <c r="H86" s="208">
        <f t="shared" si="12"/>
        <v>63.030303030303031</v>
      </c>
      <c r="I86" s="209">
        <f t="shared" si="13"/>
        <v>200.68</v>
      </c>
      <c r="J86" s="270">
        <f t="shared" si="14"/>
        <v>19</v>
      </c>
      <c r="K86" s="210">
        <v>6.92</v>
      </c>
      <c r="L86" s="271">
        <v>32</v>
      </c>
      <c r="M86" s="289"/>
      <c r="N86" s="244">
        <f t="shared" si="17"/>
        <v>0.17519685021500001</v>
      </c>
      <c r="O86" s="250">
        <f t="shared" si="18"/>
        <v>0.285433070575</v>
      </c>
      <c r="P86" s="249">
        <f>IF(O86&lt;&gt;"",MROUND(O86*64,Param_DSC!$C$60),"")</f>
        <v>18.5</v>
      </c>
      <c r="Q86" s="246">
        <v>7.25</v>
      </c>
      <c r="R86" s="249">
        <f t="shared" si="19"/>
        <v>812.8</v>
      </c>
      <c r="S86" s="280">
        <f t="shared" si="20"/>
        <v>0.17519685021500001</v>
      </c>
      <c r="T86" s="280">
        <f t="shared" si="21"/>
        <v>0.285433070575</v>
      </c>
      <c r="U86" s="247"/>
    </row>
    <row r="87" spans="1:21" x14ac:dyDescent="0.2">
      <c r="A87" s="203" t="s">
        <v>597</v>
      </c>
      <c r="B87" s="204"/>
      <c r="C87" s="204" t="s">
        <v>18</v>
      </c>
      <c r="D87" s="204"/>
      <c r="E87" s="211" t="s">
        <v>642</v>
      </c>
      <c r="F87" s="206">
        <v>0.6</v>
      </c>
      <c r="G87" s="207">
        <f t="shared" si="16"/>
        <v>0.49499999999999994</v>
      </c>
      <c r="H87" s="208">
        <f t="shared" si="12"/>
        <v>52.525252525252533</v>
      </c>
      <c r="I87" s="209">
        <f t="shared" si="13"/>
        <v>177.77</v>
      </c>
      <c r="J87" s="270">
        <f t="shared" si="14"/>
        <v>18</v>
      </c>
      <c r="K87" s="210">
        <v>6.13</v>
      </c>
      <c r="L87" s="271">
        <v>32</v>
      </c>
      <c r="M87" s="289"/>
      <c r="N87" s="244">
        <f t="shared" si="17"/>
        <v>0.17519685021500001</v>
      </c>
      <c r="O87" s="250">
        <f t="shared" si="18"/>
        <v>0.28188976349200001</v>
      </c>
      <c r="P87" s="249">
        <f>IF(O87&lt;&gt;"",MROUND(O87*64,Param_DSC!$C$60),"")</f>
        <v>18</v>
      </c>
      <c r="Q87" s="246">
        <v>7.16</v>
      </c>
      <c r="R87" s="249">
        <f t="shared" si="19"/>
        <v>812.8</v>
      </c>
      <c r="S87" s="280">
        <f t="shared" si="20"/>
        <v>0.17519685021500001</v>
      </c>
      <c r="T87" s="280">
        <f t="shared" si="21"/>
        <v>0.28188976349200001</v>
      </c>
      <c r="U87" s="247"/>
    </row>
    <row r="88" spans="1:21" x14ac:dyDescent="0.2">
      <c r="A88" s="203" t="s">
        <v>597</v>
      </c>
      <c r="B88" s="204"/>
      <c r="C88" s="204" t="s">
        <v>18</v>
      </c>
      <c r="D88" s="204"/>
      <c r="E88" s="211" t="s">
        <v>643</v>
      </c>
      <c r="F88" s="206">
        <v>0.8</v>
      </c>
      <c r="G88" s="207">
        <f t="shared" si="16"/>
        <v>0.66</v>
      </c>
      <c r="H88" s="208">
        <f t="shared" si="12"/>
        <v>39.393939393939391</v>
      </c>
      <c r="I88" s="209">
        <f t="shared" si="13"/>
        <v>160.07999999999998</v>
      </c>
      <c r="J88" s="270">
        <f t="shared" si="14"/>
        <v>18</v>
      </c>
      <c r="K88" s="210">
        <v>5.52</v>
      </c>
      <c r="L88" s="271">
        <v>32</v>
      </c>
      <c r="M88" s="289"/>
      <c r="N88" s="244">
        <f t="shared" si="17"/>
        <v>0.17519685021500001</v>
      </c>
      <c r="O88" s="250">
        <f t="shared" si="18"/>
        <v>0.27834645640900002</v>
      </c>
      <c r="P88" s="249">
        <f>IF(O88&lt;&gt;"",MROUND(O88*64,Param_DSC!$C$60),"")</f>
        <v>18</v>
      </c>
      <c r="Q88" s="246">
        <v>7.07</v>
      </c>
      <c r="R88" s="249">
        <f t="shared" si="19"/>
        <v>812.8</v>
      </c>
      <c r="S88" s="280">
        <f t="shared" si="20"/>
        <v>0.17519685021500001</v>
      </c>
      <c r="T88" s="280">
        <f t="shared" si="21"/>
        <v>0.27834645640900002</v>
      </c>
      <c r="U88" s="247"/>
    </row>
    <row r="89" spans="1:21" x14ac:dyDescent="0.2">
      <c r="A89" s="203" t="s">
        <v>597</v>
      </c>
      <c r="B89" s="204"/>
      <c r="C89" s="204" t="s">
        <v>18</v>
      </c>
      <c r="D89" s="204"/>
      <c r="E89" s="211" t="s">
        <v>634</v>
      </c>
      <c r="F89" s="206">
        <v>0.3</v>
      </c>
      <c r="G89" s="207">
        <f t="shared" si="16"/>
        <v>0.24749999999999997</v>
      </c>
      <c r="H89" s="208">
        <f t="shared" si="12"/>
        <v>105.05050505050507</v>
      </c>
      <c r="I89" s="209">
        <f t="shared" si="13"/>
        <v>265.06</v>
      </c>
      <c r="J89" s="270">
        <f t="shared" si="14"/>
        <v>19</v>
      </c>
      <c r="K89" s="210">
        <v>9.14</v>
      </c>
      <c r="L89" s="271">
        <v>32</v>
      </c>
      <c r="M89" s="289"/>
      <c r="N89" s="244">
        <f t="shared" si="17"/>
        <v>0.17519685021500001</v>
      </c>
      <c r="O89" s="250">
        <f t="shared" si="18"/>
        <v>0.29763779497199999</v>
      </c>
      <c r="P89" s="249">
        <f>IF(O89&lt;&gt;"",MROUND(O89*64,Param_DSC!$C$60),"")</f>
        <v>19</v>
      </c>
      <c r="Q89" s="246">
        <v>7.56</v>
      </c>
      <c r="R89" s="249">
        <f t="shared" si="19"/>
        <v>812.8</v>
      </c>
      <c r="S89" s="280">
        <f t="shared" si="20"/>
        <v>0.17519685021500001</v>
      </c>
      <c r="T89" s="280">
        <f t="shared" si="21"/>
        <v>0.29763779497199999</v>
      </c>
      <c r="U89" s="247"/>
    </row>
    <row r="90" spans="1:21" x14ac:dyDescent="0.2">
      <c r="A90" s="203" t="s">
        <v>597</v>
      </c>
      <c r="B90" s="204"/>
      <c r="C90" s="204" t="s">
        <v>18</v>
      </c>
      <c r="D90" s="204"/>
      <c r="E90" s="211" t="s">
        <v>635</v>
      </c>
      <c r="F90" s="206">
        <v>0.4</v>
      </c>
      <c r="G90" s="207">
        <f t="shared" si="16"/>
        <v>0.33</v>
      </c>
      <c r="H90" s="208">
        <f t="shared" si="12"/>
        <v>78.787878787878782</v>
      </c>
      <c r="I90" s="209">
        <f t="shared" si="13"/>
        <v>222.14000000000001</v>
      </c>
      <c r="J90" s="270">
        <f t="shared" si="14"/>
        <v>19</v>
      </c>
      <c r="K90" s="210">
        <v>7.66</v>
      </c>
      <c r="L90" s="271">
        <v>32</v>
      </c>
      <c r="M90" s="289"/>
      <c r="N90" s="244">
        <f t="shared" si="17"/>
        <v>0.17519685021500001</v>
      </c>
      <c r="O90" s="250">
        <f t="shared" si="18"/>
        <v>0.29055118080600001</v>
      </c>
      <c r="P90" s="249">
        <f>IF(O90&lt;&gt;"",MROUND(O90*64,Param_DSC!$C$60),"")</f>
        <v>18.5</v>
      </c>
      <c r="Q90" s="246">
        <v>7.38</v>
      </c>
      <c r="R90" s="249">
        <f t="shared" si="19"/>
        <v>812.8</v>
      </c>
      <c r="S90" s="280">
        <f t="shared" si="20"/>
        <v>0.17519685021500001</v>
      </c>
      <c r="T90" s="280">
        <f t="shared" si="21"/>
        <v>0.29055118080600001</v>
      </c>
      <c r="U90" s="247"/>
    </row>
    <row r="91" spans="1:21" x14ac:dyDescent="0.2">
      <c r="A91" s="203" t="s">
        <v>597</v>
      </c>
      <c r="B91" s="204"/>
      <c r="C91" s="204" t="s">
        <v>18</v>
      </c>
      <c r="D91" s="204"/>
      <c r="E91" s="211" t="s">
        <v>636</v>
      </c>
      <c r="F91" s="206">
        <v>0.5</v>
      </c>
      <c r="G91" s="207">
        <f t="shared" si="16"/>
        <v>0.41249999999999998</v>
      </c>
      <c r="H91" s="208">
        <f t="shared" si="12"/>
        <v>63.030303030303031</v>
      </c>
      <c r="I91" s="209">
        <f t="shared" si="13"/>
        <v>200.68</v>
      </c>
      <c r="J91" s="270">
        <f t="shared" si="14"/>
        <v>19</v>
      </c>
      <c r="K91" s="210">
        <v>6.92</v>
      </c>
      <c r="L91" s="271">
        <v>32</v>
      </c>
      <c r="M91" s="289"/>
      <c r="N91" s="244">
        <f t="shared" si="17"/>
        <v>0.17519685021500001</v>
      </c>
      <c r="O91" s="250">
        <f t="shared" si="18"/>
        <v>0.285433070575</v>
      </c>
      <c r="P91" s="249">
        <f>IF(O91&lt;&gt;"",MROUND(O91*64,Param_DSC!$C$60),"")</f>
        <v>18.5</v>
      </c>
      <c r="Q91" s="246">
        <v>7.25</v>
      </c>
      <c r="R91" s="249">
        <f t="shared" si="19"/>
        <v>812.8</v>
      </c>
      <c r="S91" s="280">
        <f t="shared" ref="S91:S128" si="22">N91</f>
        <v>0.17519685021500001</v>
      </c>
      <c r="T91" s="280">
        <f t="shared" ref="T91:T128" si="23">O91</f>
        <v>0.285433070575</v>
      </c>
      <c r="U91" s="247"/>
    </row>
    <row r="92" spans="1:21" x14ac:dyDescent="0.2">
      <c r="A92" s="203" t="s">
        <v>597</v>
      </c>
      <c r="B92" s="204"/>
      <c r="C92" s="204" t="s">
        <v>18</v>
      </c>
      <c r="D92" s="204"/>
      <c r="E92" s="211" t="s">
        <v>637</v>
      </c>
      <c r="F92" s="206">
        <v>0.6</v>
      </c>
      <c r="G92" s="207">
        <f t="shared" si="16"/>
        <v>0.49499999999999994</v>
      </c>
      <c r="H92" s="208">
        <f t="shared" si="12"/>
        <v>52.525252525252533</v>
      </c>
      <c r="I92" s="209">
        <f t="shared" si="13"/>
        <v>177.77</v>
      </c>
      <c r="J92" s="270">
        <f t="shared" si="14"/>
        <v>18</v>
      </c>
      <c r="K92" s="210">
        <v>6.13</v>
      </c>
      <c r="L92" s="271">
        <v>32</v>
      </c>
      <c r="M92" s="289"/>
      <c r="N92" s="244">
        <f t="shared" si="17"/>
        <v>0.17519685021500001</v>
      </c>
      <c r="O92" s="250">
        <f t="shared" si="18"/>
        <v>0.28188976349200001</v>
      </c>
      <c r="P92" s="249">
        <f>IF(O92&lt;&gt;"",MROUND(O92*64,Param_DSC!$C$60),"")</f>
        <v>18</v>
      </c>
      <c r="Q92" s="246">
        <v>7.16</v>
      </c>
      <c r="R92" s="249">
        <f t="shared" si="19"/>
        <v>812.8</v>
      </c>
      <c r="S92" s="280">
        <f t="shared" si="22"/>
        <v>0.17519685021500001</v>
      </c>
      <c r="T92" s="280">
        <f t="shared" si="23"/>
        <v>0.28188976349200001</v>
      </c>
      <c r="U92" s="247"/>
    </row>
    <row r="93" spans="1:21" x14ac:dyDescent="0.2">
      <c r="A93" s="203" t="s">
        <v>597</v>
      </c>
      <c r="B93" s="204"/>
      <c r="C93" s="204" t="s">
        <v>18</v>
      </c>
      <c r="D93" s="204"/>
      <c r="E93" s="211" t="s">
        <v>638</v>
      </c>
      <c r="F93" s="206">
        <v>0.8</v>
      </c>
      <c r="G93" s="207">
        <f t="shared" si="16"/>
        <v>0.66</v>
      </c>
      <c r="H93" s="208">
        <f t="shared" si="12"/>
        <v>39.393939393939391</v>
      </c>
      <c r="I93" s="209">
        <f t="shared" si="13"/>
        <v>160.07999999999998</v>
      </c>
      <c r="J93" s="270">
        <f t="shared" si="14"/>
        <v>18</v>
      </c>
      <c r="K93" s="210">
        <v>5.52</v>
      </c>
      <c r="L93" s="271">
        <v>32</v>
      </c>
      <c r="M93" s="289"/>
      <c r="N93" s="244">
        <f t="shared" si="17"/>
        <v>0.17519685021500001</v>
      </c>
      <c r="O93" s="250">
        <f t="shared" si="18"/>
        <v>0.27834645640900002</v>
      </c>
      <c r="P93" s="249">
        <f>IF(O93&lt;&gt;"",MROUND(O93*64,Param_DSC!$C$60),"")</f>
        <v>18</v>
      </c>
      <c r="Q93" s="246">
        <v>7.07</v>
      </c>
      <c r="R93" s="249">
        <f t="shared" si="19"/>
        <v>812.8</v>
      </c>
      <c r="S93" s="280">
        <f t="shared" si="22"/>
        <v>0.17519685021500001</v>
      </c>
      <c r="T93" s="280">
        <f t="shared" si="23"/>
        <v>0.27834645640900002</v>
      </c>
      <c r="U93" s="247"/>
    </row>
    <row r="94" spans="1:21" x14ac:dyDescent="0.2">
      <c r="A94" s="203" t="s">
        <v>597</v>
      </c>
      <c r="B94" s="204"/>
      <c r="C94" s="204" t="s">
        <v>18</v>
      </c>
      <c r="D94" s="204"/>
      <c r="E94" s="211" t="s">
        <v>624</v>
      </c>
      <c r="F94" s="206">
        <v>0.3</v>
      </c>
      <c r="G94" s="207">
        <f t="shared" si="16"/>
        <v>0.24749999999999997</v>
      </c>
      <c r="H94" s="208">
        <f t="shared" si="12"/>
        <v>105.05050505050507</v>
      </c>
      <c r="I94" s="209">
        <f t="shared" si="13"/>
        <v>267.09000000000003</v>
      </c>
      <c r="J94" s="270">
        <f t="shared" si="14"/>
        <v>19</v>
      </c>
      <c r="K94" s="210">
        <v>9.2100000000000009</v>
      </c>
      <c r="L94" s="271">
        <v>32</v>
      </c>
      <c r="M94" s="289"/>
      <c r="N94" s="244">
        <f t="shared" si="17"/>
        <v>0.17519685021500001</v>
      </c>
      <c r="O94" s="250">
        <f t="shared" si="18"/>
        <v>0.29803149575900001</v>
      </c>
      <c r="P94" s="249">
        <f>IF(O94&lt;&gt;"",MROUND(O94*64,Param_DSC!$C$60),"")</f>
        <v>19</v>
      </c>
      <c r="Q94" s="246">
        <v>7.57</v>
      </c>
      <c r="R94" s="249">
        <f t="shared" si="19"/>
        <v>812.8</v>
      </c>
      <c r="S94" s="280">
        <f t="shared" si="22"/>
        <v>0.17519685021500001</v>
      </c>
      <c r="T94" s="280">
        <f t="shared" si="23"/>
        <v>0.29803149575900001</v>
      </c>
      <c r="U94" s="247"/>
    </row>
    <row r="95" spans="1:21" x14ac:dyDescent="0.2">
      <c r="A95" s="203" t="s">
        <v>597</v>
      </c>
      <c r="B95" s="204"/>
      <c r="C95" s="204" t="s">
        <v>18</v>
      </c>
      <c r="D95" s="204"/>
      <c r="E95" s="211" t="s">
        <v>625</v>
      </c>
      <c r="F95" s="206">
        <v>0.4</v>
      </c>
      <c r="G95" s="207">
        <f t="shared" si="16"/>
        <v>0.33</v>
      </c>
      <c r="H95" s="208">
        <f t="shared" si="12"/>
        <v>78.787878787878782</v>
      </c>
      <c r="I95" s="209">
        <f t="shared" si="13"/>
        <v>223.88</v>
      </c>
      <c r="J95" s="270">
        <f t="shared" si="14"/>
        <v>19</v>
      </c>
      <c r="K95" s="210">
        <v>7.72</v>
      </c>
      <c r="L95" s="271">
        <v>32</v>
      </c>
      <c r="M95" s="289"/>
      <c r="N95" s="244">
        <f t="shared" si="17"/>
        <v>0.17519685021500001</v>
      </c>
      <c r="O95" s="250">
        <f t="shared" si="18"/>
        <v>0.29094488159299997</v>
      </c>
      <c r="P95" s="249">
        <f>IF(O95&lt;&gt;"",MROUND(O95*64,Param_DSC!$C$60),"")</f>
        <v>18.5</v>
      </c>
      <c r="Q95" s="246">
        <v>7.39</v>
      </c>
      <c r="R95" s="249">
        <f t="shared" si="19"/>
        <v>812.8</v>
      </c>
      <c r="S95" s="280">
        <f t="shared" si="22"/>
        <v>0.17519685021500001</v>
      </c>
      <c r="T95" s="280">
        <f t="shared" si="23"/>
        <v>0.29094488159299997</v>
      </c>
      <c r="U95" s="247"/>
    </row>
    <row r="96" spans="1:21" x14ac:dyDescent="0.2">
      <c r="A96" s="203" t="s">
        <v>597</v>
      </c>
      <c r="B96" s="204"/>
      <c r="C96" s="204" t="s">
        <v>18</v>
      </c>
      <c r="D96" s="204"/>
      <c r="E96" s="211" t="s">
        <v>626</v>
      </c>
      <c r="F96" s="206">
        <v>0.5</v>
      </c>
      <c r="G96" s="207">
        <f t="shared" si="16"/>
        <v>0.41249999999999998</v>
      </c>
      <c r="H96" s="208">
        <f t="shared" si="12"/>
        <v>63.030303030303031</v>
      </c>
      <c r="I96" s="209">
        <f t="shared" si="13"/>
        <v>202.42000000000002</v>
      </c>
      <c r="J96" s="270">
        <f t="shared" si="14"/>
        <v>19</v>
      </c>
      <c r="K96" s="210">
        <v>6.98</v>
      </c>
      <c r="L96" s="271">
        <v>32</v>
      </c>
      <c r="M96" s="289"/>
      <c r="N96" s="244">
        <f t="shared" si="17"/>
        <v>0.17519685021500001</v>
      </c>
      <c r="O96" s="250">
        <f t="shared" si="18"/>
        <v>0.28582677136199997</v>
      </c>
      <c r="P96" s="249">
        <f>IF(O96&lt;&gt;"",MROUND(O96*64,Param_DSC!$C$60),"")</f>
        <v>18.5</v>
      </c>
      <c r="Q96" s="246">
        <v>7.26</v>
      </c>
      <c r="R96" s="249">
        <f t="shared" si="19"/>
        <v>812.8</v>
      </c>
      <c r="S96" s="280">
        <f t="shared" si="22"/>
        <v>0.17519685021500001</v>
      </c>
      <c r="T96" s="280">
        <f t="shared" si="23"/>
        <v>0.28582677136199997</v>
      </c>
      <c r="U96" s="247"/>
    </row>
    <row r="97" spans="1:21" x14ac:dyDescent="0.2">
      <c r="A97" s="203" t="s">
        <v>597</v>
      </c>
      <c r="B97" s="204"/>
      <c r="C97" s="204" t="s">
        <v>18</v>
      </c>
      <c r="D97" s="204"/>
      <c r="E97" s="211" t="s">
        <v>627</v>
      </c>
      <c r="F97" s="206">
        <v>0.6</v>
      </c>
      <c r="G97" s="207">
        <f t="shared" si="16"/>
        <v>0.49499999999999994</v>
      </c>
      <c r="H97" s="208">
        <f t="shared" si="12"/>
        <v>52.525252525252533</v>
      </c>
      <c r="I97" s="209">
        <f t="shared" si="13"/>
        <v>179.22</v>
      </c>
      <c r="J97" s="270">
        <f t="shared" si="14"/>
        <v>18</v>
      </c>
      <c r="K97" s="210">
        <v>6.18</v>
      </c>
      <c r="L97" s="271">
        <v>32</v>
      </c>
      <c r="M97" s="289"/>
      <c r="N97" s="244">
        <f t="shared" si="17"/>
        <v>0.17519685021500001</v>
      </c>
      <c r="O97" s="250">
        <f t="shared" si="18"/>
        <v>0.28228346427899997</v>
      </c>
      <c r="P97" s="249">
        <f>IF(O97&lt;&gt;"",MROUND(O97*64,Param_DSC!$C$60),"")</f>
        <v>18</v>
      </c>
      <c r="Q97" s="246">
        <v>7.17</v>
      </c>
      <c r="R97" s="249">
        <f t="shared" si="19"/>
        <v>812.8</v>
      </c>
      <c r="S97" s="280">
        <f t="shared" si="22"/>
        <v>0.17519685021500001</v>
      </c>
      <c r="T97" s="280">
        <f t="shared" si="23"/>
        <v>0.28228346427899997</v>
      </c>
      <c r="U97" s="247"/>
    </row>
    <row r="98" spans="1:21" x14ac:dyDescent="0.2">
      <c r="A98" s="203" t="s">
        <v>597</v>
      </c>
      <c r="B98" s="204"/>
      <c r="C98" s="204" t="s">
        <v>18</v>
      </c>
      <c r="D98" s="204"/>
      <c r="E98" s="211" t="s">
        <v>628</v>
      </c>
      <c r="F98" s="206">
        <v>0.8</v>
      </c>
      <c r="G98" s="207">
        <f t="shared" si="16"/>
        <v>0.66</v>
      </c>
      <c r="H98" s="208">
        <f t="shared" si="12"/>
        <v>39.393939393939391</v>
      </c>
      <c r="I98" s="209">
        <f t="shared" si="13"/>
        <v>161.23999999999998</v>
      </c>
      <c r="J98" s="270">
        <f t="shared" si="14"/>
        <v>18</v>
      </c>
      <c r="K98" s="210">
        <v>5.56</v>
      </c>
      <c r="L98" s="271">
        <v>32</v>
      </c>
      <c r="M98" s="289"/>
      <c r="N98" s="244">
        <f t="shared" si="17"/>
        <v>0.17519685021500001</v>
      </c>
      <c r="O98" s="250">
        <f t="shared" si="18"/>
        <v>0.27874015719599998</v>
      </c>
      <c r="P98" s="249">
        <f>IF(O98&lt;&gt;"",MROUND(O98*64,Param_DSC!$C$60),"")</f>
        <v>18</v>
      </c>
      <c r="Q98" s="246">
        <v>7.08</v>
      </c>
      <c r="R98" s="249">
        <f t="shared" si="19"/>
        <v>812.8</v>
      </c>
      <c r="S98" s="280">
        <f t="shared" si="22"/>
        <v>0.17519685021500001</v>
      </c>
      <c r="T98" s="280">
        <f t="shared" si="23"/>
        <v>0.27874015719599998</v>
      </c>
      <c r="U98" s="247"/>
    </row>
    <row r="99" spans="1:21" x14ac:dyDescent="0.2">
      <c r="A99" s="203" t="s">
        <v>597</v>
      </c>
      <c r="B99" s="204"/>
      <c r="C99" s="204" t="s">
        <v>18</v>
      </c>
      <c r="D99" s="204"/>
      <c r="E99" s="211" t="s">
        <v>602</v>
      </c>
      <c r="F99" s="206">
        <v>1</v>
      </c>
      <c r="G99" s="207">
        <f t="shared" si="16"/>
        <v>0.82499999999999996</v>
      </c>
      <c r="H99" s="208">
        <f t="shared" si="12"/>
        <v>31.515151515151516</v>
      </c>
      <c r="I99" s="209">
        <f t="shared" si="13"/>
        <v>153.12</v>
      </c>
      <c r="J99" s="270">
        <f t="shared" si="14"/>
        <v>14</v>
      </c>
      <c r="K99" s="210">
        <v>5.28</v>
      </c>
      <c r="L99" s="271">
        <v>29.69</v>
      </c>
      <c r="M99" s="289"/>
      <c r="N99" s="244">
        <f t="shared" si="17"/>
        <v>0.17519685021500001</v>
      </c>
      <c r="O99" s="250">
        <f t="shared" si="18"/>
        <v>0.21377952734099998</v>
      </c>
      <c r="P99" s="249">
        <f>IF(O99&lt;&gt;"",MROUND(O99*64,Param_DSC!$C$60),"")</f>
        <v>13.5</v>
      </c>
      <c r="Q99" s="246">
        <v>5.43</v>
      </c>
      <c r="R99" s="249">
        <f t="shared" si="19"/>
        <v>754.12599999999998</v>
      </c>
      <c r="S99" s="280">
        <f t="shared" si="22"/>
        <v>0.17519685021500001</v>
      </c>
      <c r="T99" s="280">
        <f t="shared" si="23"/>
        <v>0.21377952734099998</v>
      </c>
      <c r="U99" s="247"/>
    </row>
    <row r="100" spans="1:21" x14ac:dyDescent="0.2">
      <c r="A100" s="203" t="s">
        <v>597</v>
      </c>
      <c r="B100" s="204"/>
      <c r="C100" s="204" t="s">
        <v>18</v>
      </c>
      <c r="D100" s="204"/>
      <c r="E100" s="211" t="s">
        <v>604</v>
      </c>
      <c r="F100" s="206">
        <v>1.3</v>
      </c>
      <c r="G100" s="207">
        <f t="shared" si="16"/>
        <v>1.0725</v>
      </c>
      <c r="H100" s="208">
        <f t="shared" si="12"/>
        <v>24.242424242424242</v>
      </c>
      <c r="I100" s="209">
        <f t="shared" si="13"/>
        <v>134.85000000000002</v>
      </c>
      <c r="J100" s="270">
        <f t="shared" si="14"/>
        <v>14</v>
      </c>
      <c r="K100" s="210">
        <v>4.6500000000000004</v>
      </c>
      <c r="L100" s="271">
        <v>29.69</v>
      </c>
      <c r="M100" s="289"/>
      <c r="N100" s="244">
        <f t="shared" si="17"/>
        <v>0.17519685021500001</v>
      </c>
      <c r="O100" s="250">
        <f t="shared" si="18"/>
        <v>0.20826771632299998</v>
      </c>
      <c r="P100" s="249">
        <f>IF(O100&lt;&gt;"",MROUND(O100*64,Param_DSC!$C$60),"")</f>
        <v>13.5</v>
      </c>
      <c r="Q100" s="246">
        <v>5.29</v>
      </c>
      <c r="R100" s="249">
        <f t="shared" si="19"/>
        <v>754.12599999999998</v>
      </c>
      <c r="S100" s="280">
        <f t="shared" si="22"/>
        <v>0.17519685021500001</v>
      </c>
      <c r="T100" s="280">
        <f t="shared" si="23"/>
        <v>0.20826771632299998</v>
      </c>
      <c r="U100" s="247"/>
    </row>
    <row r="101" spans="1:21" x14ac:dyDescent="0.2">
      <c r="A101" s="203" t="s">
        <v>597</v>
      </c>
      <c r="B101" s="204"/>
      <c r="C101" s="204" t="s">
        <v>18</v>
      </c>
      <c r="D101" s="204"/>
      <c r="E101" s="211" t="s">
        <v>603</v>
      </c>
      <c r="F101" s="206">
        <v>1.6</v>
      </c>
      <c r="G101" s="207">
        <f t="shared" si="16"/>
        <v>1.32</v>
      </c>
      <c r="H101" s="208">
        <f t="shared" si="12"/>
        <v>19.696969696969695</v>
      </c>
      <c r="I101" s="209">
        <f t="shared" ref="I101:I132" si="24">K101*29</f>
        <v>109.61999999999999</v>
      </c>
      <c r="J101" s="270">
        <f t="shared" ref="J101:J132" si="25">ROUND(P101,0)</f>
        <v>13</v>
      </c>
      <c r="K101" s="210">
        <v>3.78</v>
      </c>
      <c r="L101" s="271">
        <v>29.69</v>
      </c>
      <c r="M101" s="289"/>
      <c r="N101" s="244">
        <f t="shared" si="17"/>
        <v>0.17519685021500001</v>
      </c>
      <c r="O101" s="250">
        <f t="shared" si="18"/>
        <v>0.20196850373099998</v>
      </c>
      <c r="P101" s="249">
        <f>IF(O101&lt;&gt;"",MROUND(O101*64,Param_DSC!$C$60),"")</f>
        <v>13</v>
      </c>
      <c r="Q101" s="246">
        <v>5.13</v>
      </c>
      <c r="R101" s="249">
        <f t="shared" si="19"/>
        <v>754.12599999999998</v>
      </c>
      <c r="S101" s="280">
        <f t="shared" si="22"/>
        <v>0.17519685021500001</v>
      </c>
      <c r="T101" s="280">
        <f t="shared" si="23"/>
        <v>0.20196850373099998</v>
      </c>
      <c r="U101" s="247"/>
    </row>
    <row r="102" spans="1:21" x14ac:dyDescent="0.2">
      <c r="A102" s="203" t="s">
        <v>597</v>
      </c>
      <c r="B102" s="204"/>
      <c r="C102" s="204" t="s">
        <v>18</v>
      </c>
      <c r="D102" s="204"/>
      <c r="E102" s="211" t="s">
        <v>598</v>
      </c>
      <c r="F102" s="206">
        <v>0.4</v>
      </c>
      <c r="G102" s="207">
        <f t="shared" si="16"/>
        <v>0.33</v>
      </c>
      <c r="H102" s="208">
        <f t="shared" si="12"/>
        <v>78.787878787878782</v>
      </c>
      <c r="I102" s="209">
        <f t="shared" si="24"/>
        <v>285.94</v>
      </c>
      <c r="J102" s="270">
        <f t="shared" si="25"/>
        <v>16</v>
      </c>
      <c r="K102" s="210">
        <v>9.86</v>
      </c>
      <c r="L102" s="271">
        <v>31.69</v>
      </c>
      <c r="M102" s="289"/>
      <c r="N102" s="244">
        <f t="shared" si="17"/>
        <v>0.17519685021500001</v>
      </c>
      <c r="O102" s="250">
        <f t="shared" si="18"/>
        <v>0.24527559030100002</v>
      </c>
      <c r="P102" s="249">
        <f>IF(O102&lt;&gt;"",MROUND(O102*64,Param_DSC!$C$60),"")</f>
        <v>15.5</v>
      </c>
      <c r="Q102" s="246">
        <v>6.23</v>
      </c>
      <c r="R102" s="249">
        <f t="shared" si="19"/>
        <v>804.92599999999993</v>
      </c>
      <c r="S102" s="280">
        <f t="shared" si="22"/>
        <v>0.17519685021500001</v>
      </c>
      <c r="T102" s="280">
        <f t="shared" si="23"/>
        <v>0.24527559030100002</v>
      </c>
      <c r="U102" s="247"/>
    </row>
    <row r="103" spans="1:21" x14ac:dyDescent="0.2">
      <c r="A103" s="203" t="s">
        <v>597</v>
      </c>
      <c r="B103" s="204"/>
      <c r="C103" s="204" t="s">
        <v>18</v>
      </c>
      <c r="D103" s="204"/>
      <c r="E103" s="211" t="s">
        <v>599</v>
      </c>
      <c r="F103" s="206">
        <v>0.5</v>
      </c>
      <c r="G103" s="207">
        <f t="shared" si="16"/>
        <v>0.41249999999999998</v>
      </c>
      <c r="H103" s="208">
        <f t="shared" si="12"/>
        <v>63.030303030303031</v>
      </c>
      <c r="I103" s="209">
        <f t="shared" si="24"/>
        <v>238.67000000000002</v>
      </c>
      <c r="J103" s="270">
        <f t="shared" si="25"/>
        <v>15</v>
      </c>
      <c r="K103" s="210">
        <v>8.23</v>
      </c>
      <c r="L103" s="271">
        <v>31.69</v>
      </c>
      <c r="M103" s="289"/>
      <c r="N103" s="244">
        <f t="shared" si="17"/>
        <v>0.17519685021500001</v>
      </c>
      <c r="O103" s="250">
        <f t="shared" si="18"/>
        <v>0.23622047219999998</v>
      </c>
      <c r="P103" s="249">
        <f>IF(O103&lt;&gt;"",MROUND(O103*64,Param_DSC!$C$60),"")</f>
        <v>15</v>
      </c>
      <c r="Q103" s="246">
        <v>6</v>
      </c>
      <c r="R103" s="249">
        <f t="shared" si="19"/>
        <v>804.92599999999993</v>
      </c>
      <c r="S103" s="280">
        <f t="shared" si="22"/>
        <v>0.17519685021500001</v>
      </c>
      <c r="T103" s="280">
        <f t="shared" si="23"/>
        <v>0.23622047219999998</v>
      </c>
      <c r="U103" s="247"/>
    </row>
    <row r="104" spans="1:21" x14ac:dyDescent="0.2">
      <c r="A104" s="203" t="s">
        <v>597</v>
      </c>
      <c r="B104" s="204"/>
      <c r="C104" s="204" t="s">
        <v>18</v>
      </c>
      <c r="D104" s="204"/>
      <c r="E104" s="211" t="s">
        <v>600</v>
      </c>
      <c r="F104" s="206">
        <v>0.6</v>
      </c>
      <c r="G104" s="207">
        <f t="shared" si="16"/>
        <v>0.49499999999999994</v>
      </c>
      <c r="H104" s="208">
        <f t="shared" si="12"/>
        <v>52.525252525252533</v>
      </c>
      <c r="I104" s="209">
        <f t="shared" si="24"/>
        <v>214.02</v>
      </c>
      <c r="J104" s="270">
        <f t="shared" si="25"/>
        <v>0</v>
      </c>
      <c r="K104" s="210">
        <v>7.38</v>
      </c>
      <c r="L104" s="271">
        <v>29.69</v>
      </c>
      <c r="M104" s="289"/>
      <c r="N104" s="244">
        <f t="shared" si="17"/>
        <v>0.17519685021500001</v>
      </c>
      <c r="O104" s="250">
        <f t="shared" si="18"/>
        <v>0.22913385803399999</v>
      </c>
      <c r="P104" s="249"/>
      <c r="Q104" s="246">
        <v>5.82</v>
      </c>
      <c r="R104" s="249">
        <f t="shared" si="19"/>
        <v>754.12599999999998</v>
      </c>
      <c r="S104" s="280">
        <f t="shared" si="22"/>
        <v>0.17519685021500001</v>
      </c>
      <c r="T104" s="280">
        <f t="shared" si="23"/>
        <v>0.22913385803399999</v>
      </c>
      <c r="U104" s="247"/>
    </row>
    <row r="105" spans="1:21" x14ac:dyDescent="0.2">
      <c r="A105" s="203" t="s">
        <v>597</v>
      </c>
      <c r="B105" s="204"/>
      <c r="C105" s="204" t="s">
        <v>18</v>
      </c>
      <c r="D105" s="204"/>
      <c r="E105" s="211" t="s">
        <v>601</v>
      </c>
      <c r="F105" s="206">
        <v>0.8</v>
      </c>
      <c r="G105" s="207">
        <f t="shared" si="16"/>
        <v>0.66</v>
      </c>
      <c r="H105" s="208">
        <f t="shared" si="12"/>
        <v>39.393939393939391</v>
      </c>
      <c r="I105" s="209">
        <f t="shared" si="24"/>
        <v>179.22</v>
      </c>
      <c r="J105" s="270">
        <f t="shared" si="25"/>
        <v>14</v>
      </c>
      <c r="K105" s="210">
        <v>6.18</v>
      </c>
      <c r="L105" s="271">
        <v>29.69</v>
      </c>
      <c r="M105" s="289"/>
      <c r="N105" s="244">
        <f t="shared" si="17"/>
        <v>0.17519685021500001</v>
      </c>
      <c r="O105" s="250">
        <f t="shared" si="18"/>
        <v>0.22007873993299998</v>
      </c>
      <c r="P105" s="249">
        <f>IF(O105&lt;&gt;"",MROUND(O105*64,Param_DSC!$C$60),"")</f>
        <v>14</v>
      </c>
      <c r="Q105" s="246">
        <v>5.59</v>
      </c>
      <c r="R105" s="249">
        <f t="shared" si="19"/>
        <v>754.12599999999998</v>
      </c>
      <c r="S105" s="280">
        <f t="shared" si="22"/>
        <v>0.17519685021500001</v>
      </c>
      <c r="T105" s="280">
        <f t="shared" si="23"/>
        <v>0.22007873993299998</v>
      </c>
      <c r="U105" s="247"/>
    </row>
    <row r="106" spans="1:21" x14ac:dyDescent="0.2">
      <c r="A106" s="203" t="s">
        <v>597</v>
      </c>
      <c r="B106" s="204"/>
      <c r="C106" s="204" t="s">
        <v>18</v>
      </c>
      <c r="D106" s="204"/>
      <c r="E106" s="211" t="s">
        <v>616</v>
      </c>
      <c r="F106" s="206">
        <v>1</v>
      </c>
      <c r="G106" s="207">
        <f t="shared" si="16"/>
        <v>0.82499999999999996</v>
      </c>
      <c r="H106" s="208">
        <f t="shared" si="12"/>
        <v>31.515151515151516</v>
      </c>
      <c r="I106" s="209">
        <f t="shared" si="24"/>
        <v>141.22999999999999</v>
      </c>
      <c r="J106" s="270">
        <f t="shared" si="25"/>
        <v>14</v>
      </c>
      <c r="K106" s="210">
        <v>4.87</v>
      </c>
      <c r="L106" s="271">
        <v>29.69</v>
      </c>
      <c r="M106" s="289"/>
      <c r="N106" s="244">
        <f t="shared" si="17"/>
        <v>0.17519685021500001</v>
      </c>
      <c r="O106" s="250">
        <f t="shared" si="18"/>
        <v>0.21259842498000001</v>
      </c>
      <c r="P106" s="249">
        <f>IF(O106&lt;&gt;"",MROUND(O106*64,Param_DSC!$C$60),"")</f>
        <v>13.5</v>
      </c>
      <c r="Q106" s="246">
        <v>5.4</v>
      </c>
      <c r="R106" s="249">
        <f t="shared" si="19"/>
        <v>754.12599999999998</v>
      </c>
      <c r="S106" s="280">
        <f t="shared" si="22"/>
        <v>0.17519685021500001</v>
      </c>
      <c r="T106" s="280">
        <f t="shared" si="23"/>
        <v>0.21259842498000001</v>
      </c>
      <c r="U106" s="247"/>
    </row>
    <row r="107" spans="1:21" x14ac:dyDescent="0.2">
      <c r="A107" s="203" t="s">
        <v>597</v>
      </c>
      <c r="B107" s="204"/>
      <c r="C107" s="204" t="s">
        <v>18</v>
      </c>
      <c r="D107" s="204"/>
      <c r="E107" s="211" t="s">
        <v>617</v>
      </c>
      <c r="F107" s="206">
        <v>1.3</v>
      </c>
      <c r="G107" s="207">
        <f t="shared" si="16"/>
        <v>1.0725</v>
      </c>
      <c r="H107" s="208">
        <f t="shared" si="12"/>
        <v>24.242424242424242</v>
      </c>
      <c r="I107" s="209">
        <f t="shared" si="24"/>
        <v>123.53999999999999</v>
      </c>
      <c r="J107" s="270">
        <f t="shared" si="25"/>
        <v>14</v>
      </c>
      <c r="K107" s="210">
        <v>4.26</v>
      </c>
      <c r="L107" s="271">
        <v>29.69</v>
      </c>
      <c r="M107" s="289"/>
      <c r="N107" s="244">
        <f t="shared" si="17"/>
        <v>0.17519685021500001</v>
      </c>
      <c r="O107" s="250">
        <f t="shared" si="18"/>
        <v>0.20708661396199998</v>
      </c>
      <c r="P107" s="249">
        <f>IF(O107&lt;&gt;"",MROUND(O107*64,Param_DSC!$C$60),"")</f>
        <v>13.5</v>
      </c>
      <c r="Q107" s="246">
        <v>5.26</v>
      </c>
      <c r="R107" s="249">
        <f t="shared" si="19"/>
        <v>754.12599999999998</v>
      </c>
      <c r="S107" s="280">
        <f t="shared" si="22"/>
        <v>0.17519685021500001</v>
      </c>
      <c r="T107" s="280">
        <f t="shared" si="23"/>
        <v>0.20708661396199998</v>
      </c>
      <c r="U107" s="247"/>
    </row>
    <row r="108" spans="1:21" x14ac:dyDescent="0.2">
      <c r="A108" s="203" t="s">
        <v>597</v>
      </c>
      <c r="B108" s="204"/>
      <c r="C108" s="204" t="s">
        <v>18</v>
      </c>
      <c r="D108" s="204"/>
      <c r="E108" s="211" t="s">
        <v>618</v>
      </c>
      <c r="F108" s="206">
        <v>1.6</v>
      </c>
      <c r="G108" s="207">
        <f t="shared" si="16"/>
        <v>1.32</v>
      </c>
      <c r="H108" s="208">
        <f t="shared" si="12"/>
        <v>19.696969696969695</v>
      </c>
      <c r="I108" s="209">
        <f t="shared" si="24"/>
        <v>98.02</v>
      </c>
      <c r="J108" s="270">
        <f t="shared" si="25"/>
        <v>13</v>
      </c>
      <c r="K108" s="210">
        <v>3.38</v>
      </c>
      <c r="L108" s="271">
        <v>29.69</v>
      </c>
      <c r="M108" s="289"/>
      <c r="N108" s="244">
        <f t="shared" si="17"/>
        <v>0.17519685021500001</v>
      </c>
      <c r="O108" s="250">
        <f t="shared" si="18"/>
        <v>0.20078740136999998</v>
      </c>
      <c r="P108" s="249">
        <f>IF(O108&lt;&gt;"",MROUND(O108*64,Param_DSC!$C$60),"")</f>
        <v>13</v>
      </c>
      <c r="Q108" s="246">
        <v>5.0999999999999996</v>
      </c>
      <c r="R108" s="249">
        <f t="shared" si="19"/>
        <v>754.12599999999998</v>
      </c>
      <c r="S108" s="280">
        <f t="shared" si="22"/>
        <v>0.17519685021500001</v>
      </c>
      <c r="T108" s="280">
        <f t="shared" si="23"/>
        <v>0.20078740136999998</v>
      </c>
      <c r="U108" s="247"/>
    </row>
    <row r="109" spans="1:21" x14ac:dyDescent="0.2">
      <c r="A109" s="203" t="s">
        <v>597</v>
      </c>
      <c r="B109" s="204"/>
      <c r="C109" s="204" t="s">
        <v>18</v>
      </c>
      <c r="D109" s="204"/>
      <c r="E109" s="211" t="s">
        <v>612</v>
      </c>
      <c r="F109" s="206">
        <v>0.4</v>
      </c>
      <c r="G109" s="207">
        <f t="shared" si="16"/>
        <v>0.33</v>
      </c>
      <c r="H109" s="208">
        <f t="shared" si="12"/>
        <v>78.787878787878782</v>
      </c>
      <c r="I109" s="209">
        <f t="shared" si="24"/>
        <v>272.02000000000004</v>
      </c>
      <c r="J109" s="270">
        <f t="shared" si="25"/>
        <v>16</v>
      </c>
      <c r="K109" s="210">
        <v>9.3800000000000008</v>
      </c>
      <c r="L109" s="271">
        <v>31.69</v>
      </c>
      <c r="M109" s="289"/>
      <c r="N109" s="244">
        <f t="shared" si="17"/>
        <v>0.17519685021500001</v>
      </c>
      <c r="O109" s="250">
        <f t="shared" si="18"/>
        <v>0.24409448793999999</v>
      </c>
      <c r="P109" s="249">
        <f>IF(O109&lt;&gt;"",MROUND(O109*64,Param_DSC!$C$60),"")</f>
        <v>15.5</v>
      </c>
      <c r="Q109" s="246">
        <v>6.2</v>
      </c>
      <c r="R109" s="249">
        <f t="shared" si="19"/>
        <v>804.92599999999993</v>
      </c>
      <c r="S109" s="280">
        <f t="shared" si="22"/>
        <v>0.17519685021500001</v>
      </c>
      <c r="T109" s="280">
        <f t="shared" si="23"/>
        <v>0.24409448793999999</v>
      </c>
      <c r="U109" s="247"/>
    </row>
    <row r="110" spans="1:21" x14ac:dyDescent="0.2">
      <c r="A110" s="203" t="s">
        <v>597</v>
      </c>
      <c r="B110" s="204"/>
      <c r="C110" s="204" t="s">
        <v>18</v>
      </c>
      <c r="D110" s="204"/>
      <c r="E110" s="211" t="s">
        <v>613</v>
      </c>
      <c r="F110" s="206">
        <v>0.5</v>
      </c>
      <c r="G110" s="207">
        <f t="shared" si="16"/>
        <v>0.41249999999999998</v>
      </c>
      <c r="H110" s="208">
        <f t="shared" si="12"/>
        <v>63.030303030303031</v>
      </c>
      <c r="I110" s="209">
        <f t="shared" si="24"/>
        <v>227.07</v>
      </c>
      <c r="J110" s="270">
        <f t="shared" si="25"/>
        <v>15</v>
      </c>
      <c r="K110" s="210">
        <v>7.83</v>
      </c>
      <c r="L110" s="271">
        <v>31.69</v>
      </c>
      <c r="M110" s="289"/>
      <c r="N110" s="244">
        <f t="shared" si="17"/>
        <v>0.17519685021500001</v>
      </c>
      <c r="O110" s="250">
        <f t="shared" si="18"/>
        <v>0.23503936983899998</v>
      </c>
      <c r="P110" s="249">
        <f>IF(O110&lt;&gt;"",MROUND(O110*64,Param_DSC!$C$60),"")</f>
        <v>15</v>
      </c>
      <c r="Q110" s="246">
        <v>5.97</v>
      </c>
      <c r="R110" s="249">
        <f t="shared" si="19"/>
        <v>804.92599999999993</v>
      </c>
      <c r="S110" s="280">
        <f t="shared" si="22"/>
        <v>0.17519685021500001</v>
      </c>
      <c r="T110" s="280">
        <f t="shared" si="23"/>
        <v>0.23503936983899998</v>
      </c>
      <c r="U110" s="247"/>
    </row>
    <row r="111" spans="1:21" x14ac:dyDescent="0.2">
      <c r="A111" s="203" t="s">
        <v>597</v>
      </c>
      <c r="B111" s="204"/>
      <c r="C111" s="204" t="s">
        <v>18</v>
      </c>
      <c r="D111" s="204"/>
      <c r="E111" s="211" t="s">
        <v>614</v>
      </c>
      <c r="F111" s="206">
        <v>0.6</v>
      </c>
      <c r="G111" s="207">
        <f t="shared" si="16"/>
        <v>0.49499999999999994</v>
      </c>
      <c r="H111" s="208">
        <f t="shared" si="12"/>
        <v>52.525252525252533</v>
      </c>
      <c r="I111" s="209">
        <f t="shared" si="24"/>
        <v>201.26000000000002</v>
      </c>
      <c r="J111" s="270">
        <f t="shared" si="25"/>
        <v>15</v>
      </c>
      <c r="K111" s="210">
        <v>6.94</v>
      </c>
      <c r="L111" s="271">
        <v>29.69</v>
      </c>
      <c r="M111" s="289"/>
      <c r="N111" s="244">
        <f t="shared" ref="N111:N128" si="26">4.45*0.0393700787</f>
        <v>0.17519685021500001</v>
      </c>
      <c r="O111" s="250">
        <f t="shared" ref="O111:O128" si="27">Q111*0.0393700787</f>
        <v>0.227952755673</v>
      </c>
      <c r="P111" s="249">
        <f>IF(O111&lt;&gt;"",MROUND(O111*64,Param_DSC!$C$60),"")</f>
        <v>14.5</v>
      </c>
      <c r="Q111" s="246">
        <v>5.79</v>
      </c>
      <c r="R111" s="249">
        <f t="shared" si="19"/>
        <v>754.12599999999998</v>
      </c>
      <c r="S111" s="280">
        <f t="shared" si="22"/>
        <v>0.17519685021500001</v>
      </c>
      <c r="T111" s="280">
        <f t="shared" si="23"/>
        <v>0.227952755673</v>
      </c>
      <c r="U111" s="247"/>
    </row>
    <row r="112" spans="1:21" x14ac:dyDescent="0.2">
      <c r="A112" s="203" t="s">
        <v>597</v>
      </c>
      <c r="B112" s="204"/>
      <c r="C112" s="204" t="s">
        <v>18</v>
      </c>
      <c r="D112" s="204"/>
      <c r="E112" s="211" t="s">
        <v>615</v>
      </c>
      <c r="F112" s="206">
        <v>0.8</v>
      </c>
      <c r="G112" s="207">
        <f t="shared" si="16"/>
        <v>0.66</v>
      </c>
      <c r="H112" s="208">
        <f t="shared" si="12"/>
        <v>39.393939393939391</v>
      </c>
      <c r="I112" s="209">
        <f t="shared" si="24"/>
        <v>166.75</v>
      </c>
      <c r="J112" s="270">
        <f t="shared" si="25"/>
        <v>14</v>
      </c>
      <c r="K112" s="210">
        <v>5.75</v>
      </c>
      <c r="L112" s="271">
        <v>29.69</v>
      </c>
      <c r="M112" s="289"/>
      <c r="N112" s="244">
        <f t="shared" si="26"/>
        <v>0.17519685021500001</v>
      </c>
      <c r="O112" s="250">
        <f t="shared" si="27"/>
        <v>0.21889763757199998</v>
      </c>
      <c r="P112" s="249">
        <f>IF(O112&lt;&gt;"",MROUND(O112*64,Param_DSC!$C$60),"")</f>
        <v>14</v>
      </c>
      <c r="Q112" s="246">
        <v>5.56</v>
      </c>
      <c r="R112" s="249">
        <f t="shared" si="19"/>
        <v>754.12599999999998</v>
      </c>
      <c r="S112" s="280">
        <f t="shared" si="22"/>
        <v>0.17519685021500001</v>
      </c>
      <c r="T112" s="280">
        <f t="shared" si="23"/>
        <v>0.21889763757199998</v>
      </c>
      <c r="U112" s="247"/>
    </row>
    <row r="113" spans="1:21" x14ac:dyDescent="0.2">
      <c r="A113" s="203" t="s">
        <v>597</v>
      </c>
      <c r="B113" s="204"/>
      <c r="C113" s="204" t="s">
        <v>18</v>
      </c>
      <c r="D113" s="204"/>
      <c r="E113" s="211" t="s">
        <v>609</v>
      </c>
      <c r="F113" s="206">
        <v>1</v>
      </c>
      <c r="G113" s="207">
        <f t="shared" si="16"/>
        <v>0.82499999999999996</v>
      </c>
      <c r="H113" s="208">
        <f t="shared" si="12"/>
        <v>31.515151515151516</v>
      </c>
      <c r="I113" s="209">
        <f t="shared" si="24"/>
        <v>150.22</v>
      </c>
      <c r="J113" s="270">
        <f t="shared" si="25"/>
        <v>14</v>
      </c>
      <c r="K113" s="210">
        <v>5.18</v>
      </c>
      <c r="L113" s="271">
        <v>29.69</v>
      </c>
      <c r="M113" s="289"/>
      <c r="N113" s="244">
        <f t="shared" si="26"/>
        <v>0.17519685021500001</v>
      </c>
      <c r="O113" s="250">
        <f t="shared" si="27"/>
        <v>0.21338582655399999</v>
      </c>
      <c r="P113" s="249">
        <f>IF(O113&lt;&gt;"",MROUND(O113*64,Param_DSC!$C$60),"")</f>
        <v>13.5</v>
      </c>
      <c r="Q113" s="246">
        <v>5.42</v>
      </c>
      <c r="R113" s="249">
        <f t="shared" si="19"/>
        <v>754.12599999999998</v>
      </c>
      <c r="S113" s="280">
        <f t="shared" si="22"/>
        <v>0.17519685021500001</v>
      </c>
      <c r="T113" s="280">
        <f t="shared" si="23"/>
        <v>0.21338582655399999</v>
      </c>
      <c r="U113" s="247"/>
    </row>
    <row r="114" spans="1:21" x14ac:dyDescent="0.2">
      <c r="A114" s="203" t="s">
        <v>597</v>
      </c>
      <c r="B114" s="204"/>
      <c r="C114" s="204" t="s">
        <v>18</v>
      </c>
      <c r="D114" s="204"/>
      <c r="E114" s="211" t="s">
        <v>610</v>
      </c>
      <c r="F114" s="206">
        <v>1.3</v>
      </c>
      <c r="G114" s="207">
        <f t="shared" si="16"/>
        <v>1.0725</v>
      </c>
      <c r="H114" s="208">
        <f t="shared" si="12"/>
        <v>24.242424242424242</v>
      </c>
      <c r="I114" s="209">
        <f t="shared" si="24"/>
        <v>131.94999999999999</v>
      </c>
      <c r="J114" s="270">
        <f t="shared" si="25"/>
        <v>14</v>
      </c>
      <c r="K114" s="210">
        <v>4.55</v>
      </c>
      <c r="L114" s="271">
        <v>29.69</v>
      </c>
      <c r="M114" s="289"/>
      <c r="N114" s="244">
        <f t="shared" si="26"/>
        <v>0.17519685021500001</v>
      </c>
      <c r="O114" s="250">
        <f t="shared" si="27"/>
        <v>0.20787401553599999</v>
      </c>
      <c r="P114" s="249">
        <f>IF(O114&lt;&gt;"",MROUND(O114*64,Param_DSC!$C$60),"")</f>
        <v>13.5</v>
      </c>
      <c r="Q114" s="246">
        <v>5.28</v>
      </c>
      <c r="R114" s="249">
        <f t="shared" si="19"/>
        <v>754.12599999999998</v>
      </c>
      <c r="S114" s="280">
        <f t="shared" si="22"/>
        <v>0.17519685021500001</v>
      </c>
      <c r="T114" s="280">
        <f t="shared" si="23"/>
        <v>0.20787401553599999</v>
      </c>
      <c r="U114" s="247"/>
    </row>
    <row r="115" spans="1:21" x14ac:dyDescent="0.2">
      <c r="A115" s="203" t="s">
        <v>597</v>
      </c>
      <c r="B115" s="204"/>
      <c r="C115" s="204" t="s">
        <v>18</v>
      </c>
      <c r="D115" s="204"/>
      <c r="E115" s="211" t="s">
        <v>611</v>
      </c>
      <c r="F115" s="206">
        <v>1.6</v>
      </c>
      <c r="G115" s="207">
        <f t="shared" si="16"/>
        <v>1.32</v>
      </c>
      <c r="H115" s="208">
        <f t="shared" si="12"/>
        <v>19.696969696969695</v>
      </c>
      <c r="I115" s="209">
        <f t="shared" si="24"/>
        <v>103.53</v>
      </c>
      <c r="J115" s="270">
        <f t="shared" si="25"/>
        <v>13</v>
      </c>
      <c r="K115" s="210">
        <v>3.57</v>
      </c>
      <c r="L115" s="271">
        <v>29.69</v>
      </c>
      <c r="M115" s="289"/>
      <c r="N115" s="244">
        <f t="shared" si="26"/>
        <v>0.17519685021500001</v>
      </c>
      <c r="O115" s="250">
        <f t="shared" si="27"/>
        <v>0.20157480294399999</v>
      </c>
      <c r="P115" s="249">
        <f>IF(O115&lt;&gt;"",MROUND(O115*64,Param_DSC!$C$60),"")</f>
        <v>13</v>
      </c>
      <c r="Q115" s="246">
        <v>5.12</v>
      </c>
      <c r="R115" s="249">
        <f t="shared" si="19"/>
        <v>754.12599999999998</v>
      </c>
      <c r="S115" s="280">
        <f t="shared" si="22"/>
        <v>0.17519685021500001</v>
      </c>
      <c r="T115" s="280">
        <f t="shared" si="23"/>
        <v>0.20157480294399999</v>
      </c>
      <c r="U115" s="247"/>
    </row>
    <row r="116" spans="1:21" x14ac:dyDescent="0.2">
      <c r="A116" s="203" t="s">
        <v>597</v>
      </c>
      <c r="B116" s="204"/>
      <c r="C116" s="204" t="s">
        <v>18</v>
      </c>
      <c r="D116" s="204"/>
      <c r="E116" s="211" t="s">
        <v>605</v>
      </c>
      <c r="F116" s="206">
        <v>0.4</v>
      </c>
      <c r="G116" s="207">
        <f t="shared" si="16"/>
        <v>0.33</v>
      </c>
      <c r="H116" s="208">
        <f t="shared" si="12"/>
        <v>78.787878787878782</v>
      </c>
      <c r="I116" s="209">
        <f t="shared" si="24"/>
        <v>224.46</v>
      </c>
      <c r="J116" s="270">
        <f t="shared" si="25"/>
        <v>16</v>
      </c>
      <c r="K116" s="210">
        <v>7.74</v>
      </c>
      <c r="L116" s="271">
        <v>31.69</v>
      </c>
      <c r="M116" s="289"/>
      <c r="N116" s="244">
        <f t="shared" si="26"/>
        <v>0.17519685021500001</v>
      </c>
      <c r="O116" s="250">
        <f t="shared" si="27"/>
        <v>0.24488188951399997</v>
      </c>
      <c r="P116" s="249">
        <f>IF(O116&lt;&gt;"",MROUND(O116*64,Param_DSC!$C$60),"")</f>
        <v>15.5</v>
      </c>
      <c r="Q116" s="246">
        <v>6.22</v>
      </c>
      <c r="R116" s="249">
        <f t="shared" si="19"/>
        <v>804.92599999999993</v>
      </c>
      <c r="S116" s="280">
        <f t="shared" si="22"/>
        <v>0.17519685021500001</v>
      </c>
      <c r="T116" s="280">
        <f t="shared" si="23"/>
        <v>0.24488188951399997</v>
      </c>
      <c r="U116" s="247"/>
    </row>
    <row r="117" spans="1:21" x14ac:dyDescent="0.2">
      <c r="A117" s="203" t="s">
        <v>597</v>
      </c>
      <c r="B117" s="204"/>
      <c r="C117" s="204" t="s">
        <v>18</v>
      </c>
      <c r="D117" s="204"/>
      <c r="E117" s="211" t="s">
        <v>606</v>
      </c>
      <c r="F117" s="206">
        <v>0.5</v>
      </c>
      <c r="G117" s="207">
        <f t="shared" si="16"/>
        <v>0.41249999999999998</v>
      </c>
      <c r="H117" s="208">
        <f t="shared" si="12"/>
        <v>63.030303030303031</v>
      </c>
      <c r="I117" s="209">
        <f t="shared" si="24"/>
        <v>236.93</v>
      </c>
      <c r="J117" s="270">
        <f t="shared" si="25"/>
        <v>15</v>
      </c>
      <c r="K117" s="210">
        <v>8.17</v>
      </c>
      <c r="L117" s="271">
        <v>31.69</v>
      </c>
      <c r="M117" s="289"/>
      <c r="N117" s="244">
        <f t="shared" si="26"/>
        <v>0.17519685021500001</v>
      </c>
      <c r="O117" s="250">
        <f t="shared" si="27"/>
        <v>0.23582677141299999</v>
      </c>
      <c r="P117" s="249">
        <f>IF(O117&lt;&gt;"",MROUND(O117*64,Param_DSC!$C$60),"")</f>
        <v>15</v>
      </c>
      <c r="Q117" s="246">
        <v>5.99</v>
      </c>
      <c r="R117" s="249">
        <f t="shared" si="19"/>
        <v>804.92599999999993</v>
      </c>
      <c r="S117" s="280">
        <f t="shared" si="22"/>
        <v>0.17519685021500001</v>
      </c>
      <c r="T117" s="280">
        <f t="shared" si="23"/>
        <v>0.23582677141299999</v>
      </c>
      <c r="U117" s="247"/>
    </row>
    <row r="118" spans="1:21" x14ac:dyDescent="0.2">
      <c r="A118" s="203" t="s">
        <v>597</v>
      </c>
      <c r="B118" s="204"/>
      <c r="C118" s="204" t="s">
        <v>18</v>
      </c>
      <c r="D118" s="204"/>
      <c r="E118" s="211" t="s">
        <v>607</v>
      </c>
      <c r="F118" s="206">
        <v>0.6</v>
      </c>
      <c r="G118" s="207">
        <f t="shared" si="16"/>
        <v>0.49499999999999994</v>
      </c>
      <c r="H118" s="208">
        <f t="shared" si="12"/>
        <v>52.525252525252533</v>
      </c>
      <c r="I118" s="209">
        <f t="shared" si="24"/>
        <v>210.82999999999998</v>
      </c>
      <c r="J118" s="270">
        <f t="shared" si="25"/>
        <v>15</v>
      </c>
      <c r="K118" s="210">
        <v>7.27</v>
      </c>
      <c r="L118" s="271">
        <v>29.69</v>
      </c>
      <c r="M118" s="289"/>
      <c r="N118" s="244">
        <f t="shared" si="26"/>
        <v>0.17519685021500001</v>
      </c>
      <c r="O118" s="250">
        <f t="shared" si="27"/>
        <v>0.22874015724699998</v>
      </c>
      <c r="P118" s="249">
        <f>IF(O118&lt;&gt;"",MROUND(O118*64,Param_DSC!$C$60),"")</f>
        <v>14.5</v>
      </c>
      <c r="Q118" s="246">
        <v>5.81</v>
      </c>
      <c r="R118" s="249">
        <f t="shared" si="19"/>
        <v>754.12599999999998</v>
      </c>
      <c r="S118" s="280">
        <f t="shared" si="22"/>
        <v>0.17519685021500001</v>
      </c>
      <c r="T118" s="280">
        <f t="shared" si="23"/>
        <v>0.22874015724699998</v>
      </c>
      <c r="U118" s="247"/>
    </row>
    <row r="119" spans="1:21" x14ac:dyDescent="0.2">
      <c r="A119" s="203" t="s">
        <v>597</v>
      </c>
      <c r="B119" s="204"/>
      <c r="C119" s="204" t="s">
        <v>18</v>
      </c>
      <c r="D119" s="204"/>
      <c r="E119" s="211" t="s">
        <v>608</v>
      </c>
      <c r="F119" s="206">
        <v>0.8</v>
      </c>
      <c r="G119" s="207">
        <f t="shared" si="16"/>
        <v>0.66</v>
      </c>
      <c r="H119" s="208">
        <f t="shared" si="12"/>
        <v>39.393939393939391</v>
      </c>
      <c r="I119" s="209">
        <f t="shared" si="24"/>
        <v>176.03</v>
      </c>
      <c r="J119" s="270">
        <f t="shared" si="25"/>
        <v>14</v>
      </c>
      <c r="K119" s="210">
        <v>6.07</v>
      </c>
      <c r="L119" s="271">
        <v>29.69</v>
      </c>
      <c r="M119" s="289"/>
      <c r="N119" s="244">
        <f t="shared" si="26"/>
        <v>0.17519685021500001</v>
      </c>
      <c r="O119" s="250">
        <f t="shared" si="27"/>
        <v>0.21968503914599999</v>
      </c>
      <c r="P119" s="249">
        <f>IF(O119&lt;&gt;"",MROUND(O119*64,Param_DSC!$C$60),"")</f>
        <v>14</v>
      </c>
      <c r="Q119" s="246">
        <v>5.58</v>
      </c>
      <c r="R119" s="249">
        <f t="shared" si="19"/>
        <v>754.12599999999998</v>
      </c>
      <c r="S119" s="280">
        <f t="shared" si="22"/>
        <v>0.17519685021500001</v>
      </c>
      <c r="T119" s="280">
        <f t="shared" si="23"/>
        <v>0.21968503914599999</v>
      </c>
      <c r="U119" s="247"/>
    </row>
    <row r="120" spans="1:21" x14ac:dyDescent="0.2">
      <c r="A120" s="203" t="s">
        <v>597</v>
      </c>
      <c r="B120" s="204"/>
      <c r="C120" s="204" t="s">
        <v>18</v>
      </c>
      <c r="D120" s="204"/>
      <c r="E120" s="211" t="s">
        <v>629</v>
      </c>
      <c r="F120" s="206">
        <v>0.3</v>
      </c>
      <c r="G120" s="207">
        <f t="shared" si="16"/>
        <v>0.24749999999999997</v>
      </c>
      <c r="H120" s="208">
        <f t="shared" si="12"/>
        <v>105.05050505050507</v>
      </c>
      <c r="I120" s="209">
        <f t="shared" si="24"/>
        <v>266.51</v>
      </c>
      <c r="J120" s="270">
        <f t="shared" si="25"/>
        <v>19</v>
      </c>
      <c r="K120" s="210">
        <v>9.19</v>
      </c>
      <c r="L120" s="271">
        <v>32</v>
      </c>
      <c r="M120" s="289"/>
      <c r="N120" s="244">
        <f t="shared" si="26"/>
        <v>0.17519685021500001</v>
      </c>
      <c r="O120" s="250">
        <f t="shared" si="27"/>
        <v>0.29803149575900001</v>
      </c>
      <c r="P120" s="249">
        <f>IF(O120&lt;&gt;"",MROUND(O120*64,Param_DSC!$C$60),"")</f>
        <v>19</v>
      </c>
      <c r="Q120" s="246">
        <v>7.57</v>
      </c>
      <c r="R120" s="249">
        <f t="shared" si="19"/>
        <v>812.8</v>
      </c>
      <c r="S120" s="280">
        <f t="shared" si="22"/>
        <v>0.17519685021500001</v>
      </c>
      <c r="T120" s="280">
        <f t="shared" si="23"/>
        <v>0.29803149575900001</v>
      </c>
      <c r="U120" s="247"/>
    </row>
    <row r="121" spans="1:21" ht="15" customHeight="1" x14ac:dyDescent="0.2">
      <c r="A121" s="203" t="s">
        <v>597</v>
      </c>
      <c r="B121" s="204"/>
      <c r="C121" s="204" t="s">
        <v>18</v>
      </c>
      <c r="D121" s="204"/>
      <c r="E121" s="211" t="s">
        <v>630</v>
      </c>
      <c r="F121" s="206">
        <v>0.4</v>
      </c>
      <c r="G121" s="207">
        <f t="shared" si="16"/>
        <v>0.33</v>
      </c>
      <c r="H121" s="208">
        <f t="shared" si="12"/>
        <v>78.787878787878782</v>
      </c>
      <c r="I121" s="209">
        <f t="shared" si="24"/>
        <v>223.59</v>
      </c>
      <c r="J121" s="270">
        <f t="shared" si="25"/>
        <v>19</v>
      </c>
      <c r="K121" s="210">
        <v>7.71</v>
      </c>
      <c r="L121" s="271">
        <v>32</v>
      </c>
      <c r="N121" s="244">
        <f t="shared" si="26"/>
        <v>0.17519685021500001</v>
      </c>
      <c r="O121" s="250">
        <f t="shared" si="27"/>
        <v>0.29094488159299997</v>
      </c>
      <c r="P121" s="249">
        <f>IF(O121&lt;&gt;"",MROUND(O121*64,Param_DSC!$C$60),"")</f>
        <v>18.5</v>
      </c>
      <c r="Q121" s="246">
        <v>7.39</v>
      </c>
      <c r="R121" s="249">
        <f t="shared" si="19"/>
        <v>812.8</v>
      </c>
      <c r="S121" s="280">
        <f t="shared" si="22"/>
        <v>0.17519685021500001</v>
      </c>
      <c r="T121" s="280">
        <f t="shared" si="23"/>
        <v>0.29094488159299997</v>
      </c>
      <c r="U121" s="247"/>
    </row>
    <row r="122" spans="1:21" ht="15" customHeight="1" x14ac:dyDescent="0.2">
      <c r="A122" s="203" t="s">
        <v>597</v>
      </c>
      <c r="B122" s="204"/>
      <c r="C122" s="204" t="s">
        <v>18</v>
      </c>
      <c r="D122" s="204"/>
      <c r="E122" s="211" t="s">
        <v>631</v>
      </c>
      <c r="F122" s="206">
        <v>0.5</v>
      </c>
      <c r="G122" s="207">
        <f t="shared" si="16"/>
        <v>0.41249999999999998</v>
      </c>
      <c r="H122" s="208">
        <f t="shared" si="12"/>
        <v>63.030303030303031</v>
      </c>
      <c r="I122" s="209">
        <f t="shared" si="24"/>
        <v>202.13</v>
      </c>
      <c r="J122" s="270">
        <f t="shared" si="25"/>
        <v>19</v>
      </c>
      <c r="K122" s="210">
        <v>6.97</v>
      </c>
      <c r="L122" s="271">
        <v>32</v>
      </c>
      <c r="N122" s="244">
        <f t="shared" si="26"/>
        <v>0.17519685021500001</v>
      </c>
      <c r="O122" s="250">
        <f t="shared" si="27"/>
        <v>0.28582677136199997</v>
      </c>
      <c r="P122" s="249">
        <f>IF(O122&lt;&gt;"",MROUND(O122*64,Param_DSC!$C$60),"")</f>
        <v>18.5</v>
      </c>
      <c r="Q122" s="246">
        <v>7.26</v>
      </c>
      <c r="R122" s="249">
        <f t="shared" si="19"/>
        <v>812.8</v>
      </c>
      <c r="S122" s="280">
        <f t="shared" si="22"/>
        <v>0.17519685021500001</v>
      </c>
      <c r="T122" s="280">
        <f t="shared" si="23"/>
        <v>0.28582677136199997</v>
      </c>
      <c r="U122" s="247"/>
    </row>
    <row r="123" spans="1:21" ht="15" customHeight="1" x14ac:dyDescent="0.2">
      <c r="A123" s="203" t="s">
        <v>597</v>
      </c>
      <c r="B123" s="204"/>
      <c r="C123" s="204" t="s">
        <v>18</v>
      </c>
      <c r="D123" s="204"/>
      <c r="E123" s="211" t="s">
        <v>632</v>
      </c>
      <c r="F123" s="206">
        <v>0.6</v>
      </c>
      <c r="G123" s="207">
        <f t="shared" si="16"/>
        <v>0.49499999999999994</v>
      </c>
      <c r="H123" s="208">
        <f t="shared" si="12"/>
        <v>52.525252525252533</v>
      </c>
      <c r="I123" s="209">
        <f t="shared" si="24"/>
        <v>178.93</v>
      </c>
      <c r="J123" s="270">
        <f t="shared" si="25"/>
        <v>18</v>
      </c>
      <c r="K123" s="210">
        <v>6.17</v>
      </c>
      <c r="L123" s="271">
        <v>32</v>
      </c>
      <c r="N123" s="244">
        <f>4.45*0.03937</f>
        <v>0.17519650000000001</v>
      </c>
      <c r="O123" s="250">
        <f t="shared" si="27"/>
        <v>0.28228346427899997</v>
      </c>
      <c r="P123" s="249">
        <f>IF(O123&lt;&gt;"",MROUND(O123*64,Param_DSC!$C$60),"")</f>
        <v>18</v>
      </c>
      <c r="Q123" s="246">
        <v>7.17</v>
      </c>
      <c r="R123" s="249">
        <f t="shared" si="19"/>
        <v>812.8</v>
      </c>
      <c r="S123" s="280">
        <f t="shared" si="22"/>
        <v>0.17519650000000001</v>
      </c>
      <c r="T123" s="280">
        <f t="shared" si="23"/>
        <v>0.28228346427899997</v>
      </c>
      <c r="U123" s="247"/>
    </row>
    <row r="124" spans="1:21" ht="15" customHeight="1" x14ac:dyDescent="0.2">
      <c r="A124" s="203" t="s">
        <v>597</v>
      </c>
      <c r="B124" s="204"/>
      <c r="C124" s="204" t="s">
        <v>18</v>
      </c>
      <c r="D124" s="204"/>
      <c r="E124" s="211" t="s">
        <v>633</v>
      </c>
      <c r="F124" s="206">
        <v>0.8</v>
      </c>
      <c r="G124" s="207">
        <f t="shared" si="16"/>
        <v>0.66</v>
      </c>
      <c r="H124" s="208">
        <f t="shared" si="12"/>
        <v>39.393939393939391</v>
      </c>
      <c r="I124" s="209">
        <f t="shared" si="24"/>
        <v>160.94999999999999</v>
      </c>
      <c r="J124" s="270">
        <f t="shared" si="25"/>
        <v>18</v>
      </c>
      <c r="K124" s="210">
        <v>5.55</v>
      </c>
      <c r="L124" s="271">
        <v>32</v>
      </c>
      <c r="N124" s="244">
        <f t="shared" si="26"/>
        <v>0.17519685021500001</v>
      </c>
      <c r="O124" s="250">
        <f t="shared" si="27"/>
        <v>0.27874015719599998</v>
      </c>
      <c r="P124" s="249">
        <f>IF(O124&lt;&gt;"",MROUND(O124*64,Param_DSC!$C$60),"")</f>
        <v>18</v>
      </c>
      <c r="Q124" s="246">
        <v>7.08</v>
      </c>
      <c r="R124" s="249">
        <f t="shared" si="19"/>
        <v>812.8</v>
      </c>
      <c r="S124" s="280">
        <f t="shared" si="22"/>
        <v>0.17519685021500001</v>
      </c>
      <c r="T124" s="280">
        <f t="shared" si="23"/>
        <v>0.27874015719599998</v>
      </c>
      <c r="U124" s="247"/>
    </row>
    <row r="125" spans="1:21" x14ac:dyDescent="0.2">
      <c r="A125" s="203" t="s">
        <v>597</v>
      </c>
      <c r="B125" s="204"/>
      <c r="C125" s="204" t="s">
        <v>18</v>
      </c>
      <c r="D125" s="204"/>
      <c r="E125" s="211" t="s">
        <v>644</v>
      </c>
      <c r="F125" s="206">
        <v>0.3</v>
      </c>
      <c r="G125" s="207">
        <f t="shared" si="16"/>
        <v>0.24749999999999997</v>
      </c>
      <c r="H125" s="208">
        <f t="shared" si="12"/>
        <v>105.05050505050507</v>
      </c>
      <c r="I125" s="209">
        <f t="shared" si="24"/>
        <v>267.09000000000003</v>
      </c>
      <c r="J125" s="270">
        <f t="shared" si="25"/>
        <v>19</v>
      </c>
      <c r="K125" s="210">
        <v>9.2100000000000009</v>
      </c>
      <c r="L125" s="271">
        <v>34</v>
      </c>
      <c r="N125" s="244">
        <f t="shared" si="26"/>
        <v>0.17519685021500001</v>
      </c>
      <c r="O125" s="250">
        <f t="shared" si="27"/>
        <v>0.29803149575900001</v>
      </c>
      <c r="P125" s="249">
        <f>IF(O125&lt;&gt;"",MROUND(O125*64,Param_DSC!$C$60),"")</f>
        <v>19</v>
      </c>
      <c r="Q125" s="246">
        <v>7.57</v>
      </c>
      <c r="R125" s="249">
        <f t="shared" si="19"/>
        <v>863.59999999999991</v>
      </c>
      <c r="S125" s="280">
        <f t="shared" si="22"/>
        <v>0.17519685021500001</v>
      </c>
      <c r="T125" s="280">
        <f t="shared" si="23"/>
        <v>0.29803149575900001</v>
      </c>
      <c r="U125" s="247"/>
    </row>
    <row r="126" spans="1:21" x14ac:dyDescent="0.2">
      <c r="A126" s="203" t="s">
        <v>597</v>
      </c>
      <c r="B126" s="204"/>
      <c r="C126" s="204" t="s">
        <v>18</v>
      </c>
      <c r="D126" s="204"/>
      <c r="E126" s="211" t="s">
        <v>645</v>
      </c>
      <c r="F126" s="206">
        <v>0.4</v>
      </c>
      <c r="G126" s="207">
        <f t="shared" si="16"/>
        <v>0.33</v>
      </c>
      <c r="H126" s="208">
        <f t="shared" si="12"/>
        <v>78.787878787878782</v>
      </c>
      <c r="I126" s="209">
        <f t="shared" si="24"/>
        <v>223.88</v>
      </c>
      <c r="J126" s="270">
        <f t="shared" si="25"/>
        <v>19</v>
      </c>
      <c r="K126" s="210">
        <v>7.72</v>
      </c>
      <c r="L126" s="271">
        <v>34</v>
      </c>
      <c r="N126" s="244">
        <f t="shared" si="26"/>
        <v>0.17519685021500001</v>
      </c>
      <c r="O126" s="250">
        <f t="shared" si="27"/>
        <v>0.29094488159299997</v>
      </c>
      <c r="P126" s="249">
        <f>IF(O126&lt;&gt;"",MROUND(O126*64,Param_DSC!$C$60),"")</f>
        <v>18.5</v>
      </c>
      <c r="Q126" s="246">
        <v>7.39</v>
      </c>
      <c r="R126" s="249">
        <f t="shared" si="19"/>
        <v>863.59999999999991</v>
      </c>
      <c r="S126" s="280">
        <f t="shared" si="22"/>
        <v>0.17519685021500001</v>
      </c>
      <c r="T126" s="280">
        <f t="shared" si="23"/>
        <v>0.29094488159299997</v>
      </c>
      <c r="U126" s="247"/>
    </row>
    <row r="127" spans="1:21" x14ac:dyDescent="0.2">
      <c r="A127" s="203" t="s">
        <v>597</v>
      </c>
      <c r="B127" s="204"/>
      <c r="C127" s="204" t="s">
        <v>18</v>
      </c>
      <c r="D127" s="204"/>
      <c r="E127" s="211" t="s">
        <v>646</v>
      </c>
      <c r="F127" s="206">
        <v>0.5</v>
      </c>
      <c r="G127" s="207">
        <f t="shared" si="16"/>
        <v>0.41249999999999998</v>
      </c>
      <c r="H127" s="208">
        <f t="shared" si="12"/>
        <v>63.030303030303031</v>
      </c>
      <c r="I127" s="209">
        <f t="shared" si="24"/>
        <v>202.42000000000002</v>
      </c>
      <c r="J127" s="270">
        <f t="shared" si="25"/>
        <v>19</v>
      </c>
      <c r="K127" s="210">
        <v>6.98</v>
      </c>
      <c r="L127" s="271">
        <v>34</v>
      </c>
      <c r="N127" s="244">
        <f t="shared" si="26"/>
        <v>0.17519685021500001</v>
      </c>
      <c r="O127" s="250">
        <f t="shared" si="27"/>
        <v>0.28582677136199997</v>
      </c>
      <c r="P127" s="249">
        <f>IF(O127&lt;&gt;"",MROUND(O127*64,Param_DSC!$C$60),"")</f>
        <v>18.5</v>
      </c>
      <c r="Q127" s="246">
        <v>7.26</v>
      </c>
      <c r="R127" s="249">
        <f t="shared" si="19"/>
        <v>863.59999999999991</v>
      </c>
      <c r="S127" s="280">
        <f t="shared" si="22"/>
        <v>0.17519685021500001</v>
      </c>
      <c r="T127" s="280">
        <f t="shared" si="23"/>
        <v>0.28582677136199997</v>
      </c>
      <c r="U127" s="247"/>
    </row>
    <row r="128" spans="1:21" x14ac:dyDescent="0.2">
      <c r="A128" s="203" t="s">
        <v>597</v>
      </c>
      <c r="B128" s="204"/>
      <c r="C128" s="204" t="s">
        <v>18</v>
      </c>
      <c r="D128" s="204"/>
      <c r="E128" s="211" t="s">
        <v>647</v>
      </c>
      <c r="F128" s="206">
        <v>0.6</v>
      </c>
      <c r="G128" s="207">
        <f t="shared" si="16"/>
        <v>0.49499999999999994</v>
      </c>
      <c r="H128" s="208">
        <f t="shared" si="12"/>
        <v>52.525252525252533</v>
      </c>
      <c r="I128" s="209">
        <f t="shared" si="24"/>
        <v>179.22</v>
      </c>
      <c r="J128" s="270">
        <f t="shared" si="25"/>
        <v>18</v>
      </c>
      <c r="K128" s="210">
        <v>6.18</v>
      </c>
      <c r="L128" s="271">
        <v>34</v>
      </c>
      <c r="N128" s="244">
        <f t="shared" si="26"/>
        <v>0.17519685021500001</v>
      </c>
      <c r="O128" s="250">
        <f t="shared" si="27"/>
        <v>0.28228346427899997</v>
      </c>
      <c r="P128" s="249">
        <f>IF(O128&lt;&gt;"",MROUND(O128*64,Param_DSC!$C$60),"")</f>
        <v>18</v>
      </c>
      <c r="Q128" s="246">
        <v>7.17</v>
      </c>
      <c r="R128" s="249">
        <f t="shared" si="19"/>
        <v>863.59999999999991</v>
      </c>
      <c r="S128" s="280">
        <f t="shared" si="22"/>
        <v>0.17519685021500001</v>
      </c>
      <c r="T128" s="280">
        <f t="shared" si="23"/>
        <v>0.28228346427899997</v>
      </c>
      <c r="U128" s="247"/>
    </row>
    <row r="129" spans="1:21" x14ac:dyDescent="0.2">
      <c r="A129" s="203" t="s">
        <v>488</v>
      </c>
      <c r="B129" s="204"/>
      <c r="C129" s="204" t="s">
        <v>18</v>
      </c>
      <c r="D129" s="204"/>
      <c r="E129" s="211" t="s">
        <v>489</v>
      </c>
      <c r="F129" s="206">
        <v>0.34</v>
      </c>
      <c r="G129" s="207">
        <f t="shared" si="16"/>
        <v>0.28050000000000003</v>
      </c>
      <c r="H129" s="208">
        <f t="shared" si="12"/>
        <v>92.691622103386806</v>
      </c>
      <c r="I129" s="209">
        <f t="shared" si="24"/>
        <v>298.70000000000005</v>
      </c>
      <c r="J129" s="270">
        <f t="shared" si="25"/>
        <v>19</v>
      </c>
      <c r="K129" s="210">
        <v>10.3</v>
      </c>
      <c r="L129" s="271"/>
      <c r="N129" s="248"/>
      <c r="O129" s="247">
        <v>0.28999999999999998</v>
      </c>
      <c r="P129" s="249">
        <f>IF(O129&lt;&gt;"",MROUND(O129*64,Param_DSC!$C$60),"")</f>
        <v>18.5</v>
      </c>
      <c r="Q129" s="249">
        <f t="shared" ref="Q129:Q161" si="28">IF(O129&lt;&gt;"",O129*25.4,"")</f>
        <v>7.3659999999999988</v>
      </c>
      <c r="R129" s="249">
        <f t="shared" si="19"/>
        <v>0</v>
      </c>
      <c r="S129" s="247" t="s">
        <v>807</v>
      </c>
      <c r="T129" s="280">
        <f>9/32</f>
        <v>0.28125</v>
      </c>
      <c r="U129" s="247"/>
    </row>
    <row r="130" spans="1:21" x14ac:dyDescent="0.2">
      <c r="A130" s="203" t="s">
        <v>488</v>
      </c>
      <c r="B130" s="204"/>
      <c r="C130" s="204" t="s">
        <v>18</v>
      </c>
      <c r="D130" s="204"/>
      <c r="E130" s="211" t="s">
        <v>490</v>
      </c>
      <c r="F130" s="206">
        <v>0.4</v>
      </c>
      <c r="G130" s="207">
        <f t="shared" si="16"/>
        <v>0.33</v>
      </c>
      <c r="H130" s="208">
        <f t="shared" si="12"/>
        <v>78.787878787878782</v>
      </c>
      <c r="I130" s="209">
        <f t="shared" si="24"/>
        <v>278.39999999999998</v>
      </c>
      <c r="J130" s="270">
        <f t="shared" si="25"/>
        <v>19</v>
      </c>
      <c r="K130" s="210">
        <v>9.6</v>
      </c>
      <c r="L130" s="271"/>
      <c r="N130" s="248"/>
      <c r="O130" s="247">
        <v>0.28599999999999998</v>
      </c>
      <c r="P130" s="249">
        <f>IF(O130&lt;&gt;"",MROUND(O130*64,Param_DSC!$C$60),"")</f>
        <v>18.5</v>
      </c>
      <c r="Q130" s="249">
        <f t="shared" si="28"/>
        <v>7.2643999999999993</v>
      </c>
      <c r="R130" s="249">
        <f t="shared" si="19"/>
        <v>0</v>
      </c>
      <c r="S130" s="247" t="s">
        <v>807</v>
      </c>
      <c r="T130" s="280">
        <f>9/32</f>
        <v>0.28125</v>
      </c>
      <c r="U130" s="247"/>
    </row>
    <row r="131" spans="1:21" x14ac:dyDescent="0.2">
      <c r="A131" s="203" t="s">
        <v>488</v>
      </c>
      <c r="B131" s="204"/>
      <c r="C131" s="204" t="s">
        <v>18</v>
      </c>
      <c r="D131" s="204"/>
      <c r="E131" s="211" t="s">
        <v>491</v>
      </c>
      <c r="F131" s="206">
        <v>0.5</v>
      </c>
      <c r="G131" s="207">
        <f t="shared" si="16"/>
        <v>0.41249999999999998</v>
      </c>
      <c r="H131" s="208">
        <f t="shared" si="12"/>
        <v>63.030303030303031</v>
      </c>
      <c r="I131" s="209">
        <f t="shared" si="24"/>
        <v>240.70000000000002</v>
      </c>
      <c r="J131" s="270">
        <f t="shared" si="25"/>
        <v>18</v>
      </c>
      <c r="K131" s="210">
        <v>8.3000000000000007</v>
      </c>
      <c r="L131" s="271"/>
      <c r="N131" s="248"/>
      <c r="O131" s="247">
        <v>0.27900000000000003</v>
      </c>
      <c r="P131" s="249">
        <f>IF(O131&lt;&gt;"",MROUND(O131*64,Param_DSC!$C$60),"")</f>
        <v>18</v>
      </c>
      <c r="Q131" s="249">
        <f t="shared" si="28"/>
        <v>7.0866000000000007</v>
      </c>
      <c r="R131" s="249">
        <f t="shared" si="19"/>
        <v>0</v>
      </c>
      <c r="S131" s="247" t="s">
        <v>807</v>
      </c>
      <c r="T131" s="280">
        <f>9/32</f>
        <v>0.28125</v>
      </c>
      <c r="U131" s="247"/>
    </row>
    <row r="132" spans="1:21" x14ac:dyDescent="0.2">
      <c r="A132" s="203" t="s">
        <v>488</v>
      </c>
      <c r="B132" s="204"/>
      <c r="C132" s="204" t="s">
        <v>18</v>
      </c>
      <c r="D132" s="204"/>
      <c r="E132" s="211" t="s">
        <v>492</v>
      </c>
      <c r="F132" s="206">
        <v>0.6</v>
      </c>
      <c r="G132" s="207">
        <f t="shared" si="16"/>
        <v>0.49499999999999994</v>
      </c>
      <c r="H132" s="208">
        <f t="shared" si="12"/>
        <v>52.525252525252533</v>
      </c>
      <c r="I132" s="209">
        <f t="shared" si="24"/>
        <v>205.89999999999998</v>
      </c>
      <c r="J132" s="270">
        <f t="shared" si="25"/>
        <v>18</v>
      </c>
      <c r="K132" s="210">
        <v>7.1</v>
      </c>
      <c r="L132" s="271"/>
      <c r="N132" s="248"/>
      <c r="O132" s="247">
        <v>0.27300000000000002</v>
      </c>
      <c r="P132" s="249">
        <f>IF(O132&lt;&gt;"",MROUND(O132*64,Param_DSC!$C$60),"")</f>
        <v>17.5</v>
      </c>
      <c r="Q132" s="249">
        <f t="shared" si="28"/>
        <v>6.9341999999999997</v>
      </c>
      <c r="R132" s="249">
        <f t="shared" si="19"/>
        <v>0</v>
      </c>
      <c r="S132" s="247" t="s">
        <v>807</v>
      </c>
      <c r="T132" s="280">
        <f>9/32</f>
        <v>0.28125</v>
      </c>
      <c r="U132" s="247"/>
    </row>
    <row r="133" spans="1:21" x14ac:dyDescent="0.2">
      <c r="A133" s="203" t="s">
        <v>488</v>
      </c>
      <c r="B133" s="204"/>
      <c r="C133" s="204" t="s">
        <v>18</v>
      </c>
      <c r="D133" s="204"/>
      <c r="E133" s="211" t="s">
        <v>493</v>
      </c>
      <c r="F133" s="206">
        <v>0.34499999999999997</v>
      </c>
      <c r="G133" s="207">
        <f t="shared" si="16"/>
        <v>0.28462499999999996</v>
      </c>
      <c r="H133" s="208">
        <f t="shared" ref="H133:H197" si="29">26/G133</f>
        <v>91.348265261308754</v>
      </c>
      <c r="I133" s="209">
        <f t="shared" ref="I133:I165" si="30">K133*29</f>
        <v>269.70000000000005</v>
      </c>
      <c r="J133" s="270">
        <f t="shared" ref="J133:J147" si="31">ROUND(P133,0)</f>
        <v>19</v>
      </c>
      <c r="K133" s="210">
        <v>9.3000000000000007</v>
      </c>
      <c r="L133" s="271"/>
      <c r="N133" s="248"/>
      <c r="O133" s="247">
        <v>0.29799999999999999</v>
      </c>
      <c r="P133" s="249">
        <f>IF(O133&lt;&gt;"",MROUND(O133*64,Param_DSC!$C$60),"")</f>
        <v>19</v>
      </c>
      <c r="Q133" s="249">
        <f t="shared" si="28"/>
        <v>7.5691999999999995</v>
      </c>
      <c r="R133" s="249">
        <f t="shared" si="19"/>
        <v>0</v>
      </c>
      <c r="S133" s="247" t="s">
        <v>809</v>
      </c>
      <c r="T133" s="280">
        <f>5/16</f>
        <v>0.3125</v>
      </c>
      <c r="U133" s="247"/>
    </row>
    <row r="134" spans="1:21" x14ac:dyDescent="0.2">
      <c r="A134" s="203" t="s">
        <v>488</v>
      </c>
      <c r="B134" s="204"/>
      <c r="C134" s="204" t="s">
        <v>18</v>
      </c>
      <c r="D134" s="204"/>
      <c r="E134" s="211" t="s">
        <v>494</v>
      </c>
      <c r="F134" s="206">
        <v>0.39</v>
      </c>
      <c r="G134" s="207">
        <f t="shared" si="16"/>
        <v>0.32174999999999998</v>
      </c>
      <c r="H134" s="208">
        <f t="shared" si="29"/>
        <v>80.808080808080817</v>
      </c>
      <c r="I134" s="209">
        <f t="shared" si="30"/>
        <v>243.60000000000002</v>
      </c>
      <c r="J134" s="270">
        <f t="shared" si="31"/>
        <v>19</v>
      </c>
      <c r="K134" s="210">
        <v>8.4</v>
      </c>
      <c r="L134" s="271"/>
      <c r="N134" s="248"/>
      <c r="O134" s="247">
        <v>0.29399999999999998</v>
      </c>
      <c r="P134" s="249">
        <f>IF(O134&lt;&gt;"",MROUND(O134*64,Param_DSC!$C$60),"")</f>
        <v>19</v>
      </c>
      <c r="Q134" s="249">
        <f t="shared" si="28"/>
        <v>7.4675999999999991</v>
      </c>
      <c r="R134" s="249">
        <f t="shared" si="19"/>
        <v>0</v>
      </c>
      <c r="S134" s="247" t="s">
        <v>809</v>
      </c>
      <c r="T134" s="280">
        <f t="shared" ref="T134:T139" si="32">9/32</f>
        <v>0.28125</v>
      </c>
      <c r="U134" s="247"/>
    </row>
    <row r="135" spans="1:21" x14ac:dyDescent="0.2">
      <c r="A135" s="203" t="s">
        <v>488</v>
      </c>
      <c r="B135" s="204"/>
      <c r="C135" s="204" t="s">
        <v>18</v>
      </c>
      <c r="D135" s="204"/>
      <c r="E135" s="211" t="s">
        <v>495</v>
      </c>
      <c r="F135" s="206">
        <v>0.48</v>
      </c>
      <c r="G135" s="207">
        <f t="shared" si="16"/>
        <v>0.39599999999999996</v>
      </c>
      <c r="H135" s="208">
        <f t="shared" si="29"/>
        <v>65.656565656565661</v>
      </c>
      <c r="I135" s="209">
        <f t="shared" si="30"/>
        <v>211.7</v>
      </c>
      <c r="J135" s="270">
        <f t="shared" si="31"/>
        <v>19</v>
      </c>
      <c r="K135" s="210">
        <v>7.3</v>
      </c>
      <c r="L135" s="271"/>
      <c r="N135" s="248"/>
      <c r="O135" s="247">
        <v>0.28699999999999998</v>
      </c>
      <c r="P135" s="249">
        <f>IF(O135&lt;&gt;"",MROUND(O135*64,Param_DSC!$C$60),"")</f>
        <v>18.5</v>
      </c>
      <c r="Q135" s="249">
        <f t="shared" si="28"/>
        <v>7.2897999999999987</v>
      </c>
      <c r="R135" s="249">
        <f t="shared" si="19"/>
        <v>0</v>
      </c>
      <c r="S135" s="247" t="s">
        <v>809</v>
      </c>
      <c r="T135" s="280">
        <f t="shared" si="32"/>
        <v>0.28125</v>
      </c>
      <c r="U135" s="247"/>
    </row>
    <row r="136" spans="1:21" x14ac:dyDescent="0.2">
      <c r="A136" s="203" t="s">
        <v>488</v>
      </c>
      <c r="B136" s="204"/>
      <c r="C136" s="204" t="s">
        <v>18</v>
      </c>
      <c r="D136" s="204"/>
      <c r="E136" s="205" t="s">
        <v>810</v>
      </c>
      <c r="F136" s="206">
        <v>0.3</v>
      </c>
      <c r="G136" s="207">
        <f t="shared" si="16"/>
        <v>0.24749999999999997</v>
      </c>
      <c r="H136" s="208">
        <f t="shared" si="29"/>
        <v>105.05050505050507</v>
      </c>
      <c r="I136" s="209">
        <f t="shared" si="30"/>
        <v>278.39999999999998</v>
      </c>
      <c r="J136" s="270">
        <f t="shared" si="31"/>
        <v>19</v>
      </c>
      <c r="K136" s="210">
        <v>9.6</v>
      </c>
      <c r="L136" s="251"/>
      <c r="N136" s="244"/>
      <c r="O136" s="245">
        <v>0.28999999999999998</v>
      </c>
      <c r="P136" s="249">
        <f>IF(O136&lt;&gt;"",MROUND(O136*64,Param_DSC!$C$60),"")</f>
        <v>18.5</v>
      </c>
      <c r="Q136" s="249">
        <f t="shared" si="28"/>
        <v>7.3659999999999988</v>
      </c>
      <c r="R136" s="249">
        <f t="shared" si="19"/>
        <v>0</v>
      </c>
      <c r="S136" s="247" t="s">
        <v>808</v>
      </c>
      <c r="T136" s="280">
        <f t="shared" si="32"/>
        <v>0.28125</v>
      </c>
      <c r="U136" s="280"/>
    </row>
    <row r="137" spans="1:21" x14ac:dyDescent="0.2">
      <c r="A137" s="203" t="s">
        <v>488</v>
      </c>
      <c r="B137" s="204"/>
      <c r="C137" s="204" t="s">
        <v>18</v>
      </c>
      <c r="D137" s="204"/>
      <c r="E137" s="205" t="s">
        <v>811</v>
      </c>
      <c r="F137" s="206">
        <v>0.35</v>
      </c>
      <c r="G137" s="207">
        <f t="shared" si="16"/>
        <v>0.28874999999999995</v>
      </c>
      <c r="H137" s="208">
        <f t="shared" si="29"/>
        <v>90.043290043290057</v>
      </c>
      <c r="I137" s="209">
        <f t="shared" si="30"/>
        <v>255.20000000000002</v>
      </c>
      <c r="J137" s="270">
        <f t="shared" si="31"/>
        <v>19</v>
      </c>
      <c r="K137" s="210">
        <v>8.8000000000000007</v>
      </c>
      <c r="L137" s="251"/>
      <c r="N137" s="244"/>
      <c r="O137" s="245">
        <v>0.28599999999999998</v>
      </c>
      <c r="P137" s="249">
        <f>IF(O137&lt;&gt;"",MROUND(O137*64,Param_DSC!$C$60),"")</f>
        <v>18.5</v>
      </c>
      <c r="Q137" s="249">
        <f t="shared" si="28"/>
        <v>7.2643999999999993</v>
      </c>
      <c r="R137" s="249">
        <f t="shared" si="19"/>
        <v>0</v>
      </c>
      <c r="S137" s="247" t="s">
        <v>808</v>
      </c>
      <c r="T137" s="280">
        <f t="shared" si="32"/>
        <v>0.28125</v>
      </c>
      <c r="U137" s="217"/>
    </row>
    <row r="138" spans="1:21" x14ac:dyDescent="0.2">
      <c r="A138" s="203" t="s">
        <v>488</v>
      </c>
      <c r="B138" s="204"/>
      <c r="C138" s="204" t="s">
        <v>18</v>
      </c>
      <c r="D138" s="204"/>
      <c r="E138" s="205" t="s">
        <v>812</v>
      </c>
      <c r="F138" s="206">
        <v>0.4</v>
      </c>
      <c r="G138" s="207">
        <f t="shared" si="16"/>
        <v>0.33</v>
      </c>
      <c r="H138" s="208">
        <f t="shared" si="29"/>
        <v>78.787878787878782</v>
      </c>
      <c r="I138" s="209">
        <f t="shared" si="30"/>
        <v>234.89999999999998</v>
      </c>
      <c r="J138" s="270">
        <f t="shared" si="31"/>
        <v>19</v>
      </c>
      <c r="K138" s="210">
        <v>8.1</v>
      </c>
      <c r="L138" s="251"/>
      <c r="N138" s="244"/>
      <c r="O138" s="245">
        <v>0.28999999999999998</v>
      </c>
      <c r="P138" s="249">
        <f>IF(O138&lt;&gt;"",MROUND(O138*64,Param_DSC!$C$60),"")</f>
        <v>18.5</v>
      </c>
      <c r="Q138" s="249">
        <f t="shared" si="28"/>
        <v>7.3659999999999988</v>
      </c>
      <c r="R138" s="249">
        <f t="shared" si="19"/>
        <v>0</v>
      </c>
      <c r="S138" s="247" t="s">
        <v>808</v>
      </c>
      <c r="T138" s="280">
        <f t="shared" si="32"/>
        <v>0.28125</v>
      </c>
      <c r="U138" s="247"/>
    </row>
    <row r="139" spans="1:21" x14ac:dyDescent="0.2">
      <c r="A139" s="203" t="s">
        <v>488</v>
      </c>
      <c r="B139" s="204"/>
      <c r="C139" s="204" t="s">
        <v>18</v>
      </c>
      <c r="D139" s="204"/>
      <c r="E139" s="205" t="s">
        <v>813</v>
      </c>
      <c r="F139" s="206">
        <v>0.5</v>
      </c>
      <c r="G139" s="207">
        <f t="shared" si="16"/>
        <v>0.41249999999999998</v>
      </c>
      <c r="H139" s="208">
        <f t="shared" si="29"/>
        <v>63.030303030303031</v>
      </c>
      <c r="I139" s="209">
        <f t="shared" si="30"/>
        <v>217.5</v>
      </c>
      <c r="J139" s="270">
        <f t="shared" si="31"/>
        <v>19</v>
      </c>
      <c r="K139" s="210">
        <v>7.5</v>
      </c>
      <c r="L139" s="251"/>
      <c r="N139" s="244"/>
      <c r="O139" s="245">
        <v>0.28599999999999998</v>
      </c>
      <c r="P139" s="249">
        <f>IF(O139&lt;&gt;"",MROUND(O139*64,Param_DSC!$C$60),"")</f>
        <v>18.5</v>
      </c>
      <c r="Q139" s="249">
        <f t="shared" si="28"/>
        <v>7.2643999999999993</v>
      </c>
      <c r="R139" s="249">
        <f t="shared" si="19"/>
        <v>0</v>
      </c>
      <c r="S139" s="247" t="s">
        <v>808</v>
      </c>
      <c r="T139" s="280">
        <f t="shared" si="32"/>
        <v>0.28125</v>
      </c>
      <c r="U139" s="217"/>
    </row>
    <row r="140" spans="1:21" x14ac:dyDescent="0.2">
      <c r="A140" s="203" t="s">
        <v>488</v>
      </c>
      <c r="B140" s="204"/>
      <c r="C140" s="204" t="s">
        <v>18</v>
      </c>
      <c r="D140" s="204"/>
      <c r="E140" s="211" t="s">
        <v>814</v>
      </c>
      <c r="F140" s="206">
        <v>0.30499999999999999</v>
      </c>
      <c r="G140" s="207">
        <f t="shared" si="16"/>
        <v>0.25162499999999999</v>
      </c>
      <c r="H140" s="208">
        <f t="shared" si="29"/>
        <v>103.3283656234476</v>
      </c>
      <c r="I140" s="209">
        <f t="shared" si="30"/>
        <v>275.5</v>
      </c>
      <c r="J140" s="270">
        <f t="shared" si="31"/>
        <v>19</v>
      </c>
      <c r="K140" s="210">
        <v>9.5</v>
      </c>
      <c r="L140" s="271"/>
      <c r="N140" s="248"/>
      <c r="O140" s="247">
        <v>0.3</v>
      </c>
      <c r="P140" s="249">
        <f>IF(O140&lt;&gt;"",MROUND(O140*64,Param_DSC!$C$60),"")</f>
        <v>19</v>
      </c>
      <c r="Q140" s="249">
        <f t="shared" si="28"/>
        <v>7.6199999999999992</v>
      </c>
      <c r="R140" s="249">
        <f t="shared" si="19"/>
        <v>0</v>
      </c>
      <c r="S140" s="247" t="s">
        <v>818</v>
      </c>
      <c r="T140" s="280">
        <f>5/16</f>
        <v>0.3125</v>
      </c>
      <c r="U140" s="247"/>
    </row>
    <row r="141" spans="1:21" x14ac:dyDescent="0.2">
      <c r="A141" s="203" t="s">
        <v>488</v>
      </c>
      <c r="B141" s="204"/>
      <c r="C141" s="204" t="s">
        <v>18</v>
      </c>
      <c r="D141" s="204"/>
      <c r="E141" s="211" t="s">
        <v>815</v>
      </c>
      <c r="F141" s="206">
        <v>0.34499999999999997</v>
      </c>
      <c r="G141" s="207">
        <f t="shared" si="16"/>
        <v>0.28462499999999996</v>
      </c>
      <c r="H141" s="208">
        <f t="shared" si="29"/>
        <v>91.348265261308754</v>
      </c>
      <c r="I141" s="209">
        <f t="shared" si="30"/>
        <v>269.70000000000005</v>
      </c>
      <c r="J141" s="270">
        <f t="shared" si="31"/>
        <v>19</v>
      </c>
      <c r="K141" s="210">
        <v>9.3000000000000007</v>
      </c>
      <c r="L141" s="271"/>
      <c r="N141" s="248"/>
      <c r="O141" s="247">
        <v>0.29799999999999999</v>
      </c>
      <c r="P141" s="249">
        <f>IF(O141&lt;&gt;"",MROUND(O141*64,Param_DSC!$C$60),"")</f>
        <v>19</v>
      </c>
      <c r="Q141" s="249">
        <f t="shared" si="28"/>
        <v>7.5691999999999995</v>
      </c>
      <c r="R141" s="249">
        <f t="shared" si="19"/>
        <v>0</v>
      </c>
      <c r="S141" s="247" t="s">
        <v>818</v>
      </c>
      <c r="T141" s="280">
        <f>5/16</f>
        <v>0.3125</v>
      </c>
      <c r="U141" s="247"/>
    </row>
    <row r="142" spans="1:21" x14ac:dyDescent="0.2">
      <c r="A142" s="203" t="s">
        <v>488</v>
      </c>
      <c r="B142" s="204"/>
      <c r="C142" s="204" t="s">
        <v>18</v>
      </c>
      <c r="D142" s="204"/>
      <c r="E142" s="211" t="s">
        <v>816</v>
      </c>
      <c r="F142" s="206">
        <v>0.39</v>
      </c>
      <c r="G142" s="207">
        <f t="shared" si="16"/>
        <v>0.32174999999999998</v>
      </c>
      <c r="H142" s="208">
        <f t="shared" si="29"/>
        <v>80.808080808080817</v>
      </c>
      <c r="I142" s="209">
        <f t="shared" si="30"/>
        <v>243.60000000000002</v>
      </c>
      <c r="J142" s="270">
        <f t="shared" si="31"/>
        <v>19</v>
      </c>
      <c r="K142" s="210">
        <v>8.4</v>
      </c>
      <c r="L142" s="271"/>
      <c r="N142" s="248"/>
      <c r="O142" s="247">
        <v>0.29399999999999998</v>
      </c>
      <c r="P142" s="249">
        <f>IF(O142&lt;&gt;"",MROUND(O142*64,Param_DSC!$C$60),"")</f>
        <v>19</v>
      </c>
      <c r="Q142" s="249">
        <f t="shared" si="28"/>
        <v>7.4675999999999991</v>
      </c>
      <c r="R142" s="249">
        <f t="shared" si="19"/>
        <v>0</v>
      </c>
      <c r="S142" s="247" t="s">
        <v>818</v>
      </c>
      <c r="T142" s="280">
        <f t="shared" ref="T142:T148" si="33">9/32</f>
        <v>0.28125</v>
      </c>
      <c r="U142" s="247"/>
    </row>
    <row r="143" spans="1:21" x14ac:dyDescent="0.2">
      <c r="A143" s="203" t="s">
        <v>488</v>
      </c>
      <c r="B143" s="204"/>
      <c r="C143" s="204" t="s">
        <v>18</v>
      </c>
      <c r="D143" s="204"/>
      <c r="E143" s="211" t="s">
        <v>817</v>
      </c>
      <c r="F143" s="206">
        <v>0.48</v>
      </c>
      <c r="G143" s="207">
        <f t="shared" ref="G143:G200" si="34">F143*0.825</f>
        <v>0.39599999999999996</v>
      </c>
      <c r="H143" s="208">
        <f t="shared" si="29"/>
        <v>65.656565656565661</v>
      </c>
      <c r="I143" s="209">
        <f t="shared" si="30"/>
        <v>211.7</v>
      </c>
      <c r="J143" s="270">
        <f t="shared" si="31"/>
        <v>19</v>
      </c>
      <c r="K143" s="210">
        <v>7.3</v>
      </c>
      <c r="L143" s="271"/>
      <c r="N143" s="248"/>
      <c r="O143" s="247">
        <v>0.28699999999999998</v>
      </c>
      <c r="P143" s="249">
        <f>IF(O143&lt;&gt;"",MROUND(O143*64,Param_DSC!$C$60),"")</f>
        <v>18.5</v>
      </c>
      <c r="Q143" s="249">
        <f t="shared" si="28"/>
        <v>7.2897999999999987</v>
      </c>
      <c r="R143" s="249">
        <f t="shared" ref="R143:R200" si="35">L143*25.4</f>
        <v>0</v>
      </c>
      <c r="S143" s="247" t="s">
        <v>818</v>
      </c>
      <c r="T143" s="280">
        <f t="shared" si="33"/>
        <v>0.28125</v>
      </c>
      <c r="U143" s="247"/>
    </row>
    <row r="144" spans="1:21" x14ac:dyDescent="0.2">
      <c r="A144" s="203" t="s">
        <v>488</v>
      </c>
      <c r="B144" s="204"/>
      <c r="C144" s="204" t="s">
        <v>18</v>
      </c>
      <c r="D144" s="204"/>
      <c r="E144" s="211" t="s">
        <v>500</v>
      </c>
      <c r="F144" s="206">
        <v>0.3</v>
      </c>
      <c r="G144" s="207">
        <f t="shared" si="34"/>
        <v>0.24749999999999997</v>
      </c>
      <c r="H144" s="208">
        <f t="shared" si="29"/>
        <v>105.05050505050507</v>
      </c>
      <c r="I144" s="209">
        <f t="shared" si="30"/>
        <v>278.39999999999998</v>
      </c>
      <c r="J144" s="270">
        <f t="shared" si="31"/>
        <v>20</v>
      </c>
      <c r="K144" s="210">
        <v>9.6</v>
      </c>
      <c r="L144" s="271"/>
      <c r="N144" s="248"/>
      <c r="O144" s="247">
        <v>0.30099999999999999</v>
      </c>
      <c r="P144" s="249">
        <f>IF(O144&lt;&gt;"",MROUND(O144*64,Param_DSC!$C$60),"")</f>
        <v>19.5</v>
      </c>
      <c r="Q144" s="249">
        <f t="shared" si="28"/>
        <v>7.6453999999999995</v>
      </c>
      <c r="R144" s="249">
        <f t="shared" si="35"/>
        <v>0</v>
      </c>
      <c r="S144" s="247" t="s">
        <v>808</v>
      </c>
      <c r="T144" s="280">
        <f t="shared" si="33"/>
        <v>0.28125</v>
      </c>
      <c r="U144" s="247"/>
    </row>
    <row r="145" spans="1:21" x14ac:dyDescent="0.2">
      <c r="A145" s="203" t="s">
        <v>488</v>
      </c>
      <c r="B145" s="204"/>
      <c r="C145" s="204" t="s">
        <v>18</v>
      </c>
      <c r="D145" s="204"/>
      <c r="E145" s="211" t="s">
        <v>501</v>
      </c>
      <c r="F145" s="206">
        <v>0.34</v>
      </c>
      <c r="G145" s="207">
        <f t="shared" si="34"/>
        <v>0.28050000000000003</v>
      </c>
      <c r="H145" s="208">
        <f t="shared" si="29"/>
        <v>92.691622103386806</v>
      </c>
      <c r="I145" s="209">
        <f t="shared" si="30"/>
        <v>255.20000000000002</v>
      </c>
      <c r="J145" s="270">
        <f t="shared" si="31"/>
        <v>19</v>
      </c>
      <c r="K145" s="210">
        <v>8.8000000000000007</v>
      </c>
      <c r="L145" s="271"/>
      <c r="N145" s="248"/>
      <c r="O145" s="247">
        <v>0.29799999999999999</v>
      </c>
      <c r="P145" s="249">
        <f>IF(O145&lt;&gt;"",MROUND(O145*64,Param_DSC!$C$60),"")</f>
        <v>19</v>
      </c>
      <c r="Q145" s="249">
        <f t="shared" si="28"/>
        <v>7.5691999999999995</v>
      </c>
      <c r="R145" s="249">
        <f t="shared" si="35"/>
        <v>0</v>
      </c>
      <c r="S145" s="247" t="s">
        <v>808</v>
      </c>
      <c r="T145" s="280">
        <f t="shared" si="33"/>
        <v>0.28125</v>
      </c>
      <c r="U145" s="247"/>
    </row>
    <row r="146" spans="1:21" x14ac:dyDescent="0.2">
      <c r="A146" s="203" t="s">
        <v>488</v>
      </c>
      <c r="B146" s="204"/>
      <c r="C146" s="204" t="s">
        <v>18</v>
      </c>
      <c r="D146" s="204"/>
      <c r="E146" s="211" t="s">
        <v>502</v>
      </c>
      <c r="F146" s="206">
        <v>0.4</v>
      </c>
      <c r="G146" s="207">
        <f t="shared" si="34"/>
        <v>0.33</v>
      </c>
      <c r="H146" s="208">
        <f t="shared" si="29"/>
        <v>78.787878787878782</v>
      </c>
      <c r="I146" s="209">
        <f t="shared" si="30"/>
        <v>234.89999999999998</v>
      </c>
      <c r="J146" s="270">
        <f t="shared" si="31"/>
        <v>19</v>
      </c>
      <c r="K146" s="210">
        <v>8.1</v>
      </c>
      <c r="L146" s="271"/>
      <c r="N146" s="248"/>
      <c r="O146" s="247">
        <v>0.29399999999999998</v>
      </c>
      <c r="P146" s="249">
        <f>IF(O146&lt;&gt;"",MROUND(O146*64,Param_DSC!$C$60),"")</f>
        <v>19</v>
      </c>
      <c r="Q146" s="249">
        <f t="shared" si="28"/>
        <v>7.4675999999999991</v>
      </c>
      <c r="R146" s="249">
        <f t="shared" si="35"/>
        <v>0</v>
      </c>
      <c r="S146" s="247" t="s">
        <v>808</v>
      </c>
      <c r="T146" s="280">
        <f t="shared" si="33"/>
        <v>0.28125</v>
      </c>
      <c r="U146" s="247"/>
    </row>
    <row r="147" spans="1:21" x14ac:dyDescent="0.2">
      <c r="A147" s="203" t="s">
        <v>488</v>
      </c>
      <c r="B147" s="204"/>
      <c r="C147" s="204" t="s">
        <v>18</v>
      </c>
      <c r="D147" s="204"/>
      <c r="E147" s="211" t="s">
        <v>503</v>
      </c>
      <c r="F147" s="206">
        <v>0.5</v>
      </c>
      <c r="G147" s="207">
        <f t="shared" si="34"/>
        <v>0.41249999999999998</v>
      </c>
      <c r="H147" s="208">
        <f t="shared" si="29"/>
        <v>63.030303030303031</v>
      </c>
      <c r="I147" s="209">
        <f t="shared" si="30"/>
        <v>217.5</v>
      </c>
      <c r="J147" s="270">
        <f t="shared" si="31"/>
        <v>19</v>
      </c>
      <c r="K147" s="210">
        <v>7.5</v>
      </c>
      <c r="L147" s="271"/>
      <c r="N147" s="248"/>
      <c r="O147" s="247">
        <v>0.29099999999999998</v>
      </c>
      <c r="P147" s="249">
        <f>IF(O147&lt;&gt;"",MROUND(O147*64,Param_DSC!$C$60),"")</f>
        <v>18.5</v>
      </c>
      <c r="Q147" s="249">
        <f t="shared" si="28"/>
        <v>7.3913999999999991</v>
      </c>
      <c r="R147" s="249">
        <f t="shared" si="35"/>
        <v>0</v>
      </c>
      <c r="S147" s="247" t="s">
        <v>808</v>
      </c>
      <c r="T147" s="280">
        <f t="shared" si="33"/>
        <v>0.28125</v>
      </c>
      <c r="U147" s="247"/>
    </row>
    <row r="148" spans="1:21" x14ac:dyDescent="0.2">
      <c r="A148" s="203" t="s">
        <v>488</v>
      </c>
      <c r="B148" s="204"/>
      <c r="C148" s="204" t="s">
        <v>18</v>
      </c>
      <c r="D148" s="204"/>
      <c r="E148" s="211" t="s">
        <v>503</v>
      </c>
      <c r="F148" s="206">
        <v>0.5</v>
      </c>
      <c r="G148" s="207">
        <f t="shared" ref="G148" si="36">F148*0.825</f>
        <v>0.41249999999999998</v>
      </c>
      <c r="H148" s="208">
        <f t="shared" ref="H148" si="37">26/G148</f>
        <v>63.030303030303031</v>
      </c>
      <c r="I148" s="209">
        <f t="shared" ref="I148" si="38">K148*29</f>
        <v>217.5</v>
      </c>
      <c r="J148" s="270">
        <f t="shared" ref="J148" si="39">ROUND(P148,0)</f>
        <v>19</v>
      </c>
      <c r="K148" s="210">
        <v>7.5</v>
      </c>
      <c r="L148" s="271"/>
      <c r="N148" s="248"/>
      <c r="O148" s="247">
        <v>0.29099999999999998</v>
      </c>
      <c r="P148" s="249">
        <f>IF(O148&lt;&gt;"",MROUND(O148*64,Param_DSC!$C$60),"")</f>
        <v>18.5</v>
      </c>
      <c r="Q148" s="249">
        <f t="shared" ref="Q148" si="40">IF(O148&lt;&gt;"",O148*25.4,"")</f>
        <v>7.3913999999999991</v>
      </c>
      <c r="R148" s="249">
        <f t="shared" si="35"/>
        <v>0</v>
      </c>
      <c r="S148" s="247" t="s">
        <v>808</v>
      </c>
      <c r="T148" s="280">
        <f t="shared" si="33"/>
        <v>0.28125</v>
      </c>
      <c r="U148" s="247"/>
    </row>
    <row r="149" spans="1:21" x14ac:dyDescent="0.2">
      <c r="A149" s="203" t="s">
        <v>488</v>
      </c>
      <c r="B149" s="204"/>
      <c r="C149" s="204"/>
      <c r="D149" s="204"/>
      <c r="E149" s="211" t="s">
        <v>141</v>
      </c>
      <c r="F149" s="206">
        <v>0.34</v>
      </c>
      <c r="G149" s="207">
        <f t="shared" si="34"/>
        <v>0.28050000000000003</v>
      </c>
      <c r="H149" s="208">
        <f t="shared" si="29"/>
        <v>92.691622103386806</v>
      </c>
      <c r="I149" s="209">
        <f t="shared" si="30"/>
        <v>324.79999999999995</v>
      </c>
      <c r="J149" s="210">
        <v>18</v>
      </c>
      <c r="K149" s="210">
        <v>11.2</v>
      </c>
      <c r="L149" s="251"/>
      <c r="N149" s="244"/>
      <c r="O149" s="245"/>
      <c r="P149" s="249" t="str">
        <f>IF(O149&lt;&gt;"",MROUND(O149*64,Param_DSC!$C$60),"")</f>
        <v/>
      </c>
      <c r="Q149" s="249" t="str">
        <f t="shared" si="28"/>
        <v/>
      </c>
      <c r="R149" s="249">
        <f t="shared" si="35"/>
        <v>0</v>
      </c>
      <c r="S149" s="247"/>
      <c r="T149" s="280"/>
      <c r="U149" s="217"/>
    </row>
    <row r="150" spans="1:21" x14ac:dyDescent="0.2">
      <c r="A150" s="203" t="s">
        <v>488</v>
      </c>
      <c r="B150" s="204"/>
      <c r="C150" s="204"/>
      <c r="D150" s="204"/>
      <c r="E150" s="211" t="s">
        <v>142</v>
      </c>
      <c r="F150" s="206">
        <v>0.4</v>
      </c>
      <c r="G150" s="207">
        <f t="shared" si="34"/>
        <v>0.33</v>
      </c>
      <c r="H150" s="208">
        <f t="shared" si="29"/>
        <v>78.787878787878782</v>
      </c>
      <c r="I150" s="209">
        <f t="shared" si="30"/>
        <v>301.60000000000002</v>
      </c>
      <c r="J150" s="210">
        <v>18</v>
      </c>
      <c r="K150" s="210">
        <v>10.4</v>
      </c>
      <c r="L150" s="251"/>
      <c r="N150" s="244"/>
      <c r="O150" s="245"/>
      <c r="P150" s="249" t="str">
        <f>IF(O150&lt;&gt;"",MROUND(O150*64,Param_DSC!$C$60),"")</f>
        <v/>
      </c>
      <c r="Q150" s="249" t="str">
        <f t="shared" si="28"/>
        <v/>
      </c>
      <c r="R150" s="249">
        <f t="shared" si="35"/>
        <v>0</v>
      </c>
      <c r="S150" s="247"/>
      <c r="T150" s="280"/>
      <c r="U150" s="217"/>
    </row>
    <row r="151" spans="1:21" x14ac:dyDescent="0.2">
      <c r="A151" s="203" t="s">
        <v>488</v>
      </c>
      <c r="B151" s="204"/>
      <c r="C151" s="204"/>
      <c r="D151" s="204"/>
      <c r="E151" s="211" t="s">
        <v>143</v>
      </c>
      <c r="F151" s="206">
        <v>0.5</v>
      </c>
      <c r="G151" s="207">
        <f t="shared" si="34"/>
        <v>0.41249999999999998</v>
      </c>
      <c r="H151" s="208">
        <f t="shared" si="29"/>
        <v>63.030303030303031</v>
      </c>
      <c r="I151" s="209">
        <f t="shared" si="30"/>
        <v>281.29999999999995</v>
      </c>
      <c r="J151" s="210">
        <v>18</v>
      </c>
      <c r="K151" s="210">
        <v>9.6999999999999993</v>
      </c>
      <c r="L151" s="251"/>
      <c r="N151" s="244"/>
      <c r="O151" s="245"/>
      <c r="P151" s="249" t="str">
        <f>IF(O151&lt;&gt;"",MROUND(O151*64,Param_DSC!$C$60),"")</f>
        <v/>
      </c>
      <c r="Q151" s="249" t="str">
        <f t="shared" si="28"/>
        <v/>
      </c>
      <c r="R151" s="249">
        <f t="shared" si="35"/>
        <v>0</v>
      </c>
      <c r="S151" s="247"/>
      <c r="T151" s="280"/>
      <c r="U151" s="217"/>
    </row>
    <row r="152" spans="1:21" x14ac:dyDescent="0.2">
      <c r="A152" s="203" t="s">
        <v>488</v>
      </c>
      <c r="B152" s="204"/>
      <c r="C152" s="204"/>
      <c r="D152" s="204"/>
      <c r="E152" s="211" t="s">
        <v>145</v>
      </c>
      <c r="F152" s="206">
        <v>0.3</v>
      </c>
      <c r="G152" s="207">
        <f t="shared" si="34"/>
        <v>0.24749999999999997</v>
      </c>
      <c r="H152" s="208">
        <f t="shared" si="29"/>
        <v>105.05050505050507</v>
      </c>
      <c r="I152" s="209">
        <f t="shared" si="30"/>
        <v>339.29999999999995</v>
      </c>
      <c r="J152" s="210">
        <v>20</v>
      </c>
      <c r="K152" s="210">
        <v>11.7</v>
      </c>
      <c r="L152" s="251"/>
      <c r="N152" s="244"/>
      <c r="O152" s="245"/>
      <c r="P152" s="249" t="str">
        <f>IF(O152&lt;&gt;"",MROUND(O152*64,Param_DSC!$C$60),"")</f>
        <v/>
      </c>
      <c r="Q152" s="249" t="str">
        <f t="shared" si="28"/>
        <v/>
      </c>
      <c r="R152" s="249">
        <f t="shared" si="35"/>
        <v>0</v>
      </c>
      <c r="S152" s="247"/>
      <c r="T152" s="280"/>
      <c r="U152" s="217"/>
    </row>
    <row r="153" spans="1:21" x14ac:dyDescent="0.2">
      <c r="A153" s="203" t="s">
        <v>488</v>
      </c>
      <c r="B153" s="204"/>
      <c r="C153" s="204"/>
      <c r="D153" s="204"/>
      <c r="E153" s="211" t="s">
        <v>146</v>
      </c>
      <c r="F153" s="206">
        <v>0.34</v>
      </c>
      <c r="G153" s="207">
        <f t="shared" si="34"/>
        <v>0.28050000000000003</v>
      </c>
      <c r="H153" s="208">
        <f t="shared" si="29"/>
        <v>92.691622103386806</v>
      </c>
      <c r="I153" s="209">
        <f t="shared" si="30"/>
        <v>301.60000000000002</v>
      </c>
      <c r="J153" s="210">
        <v>18</v>
      </c>
      <c r="K153" s="210">
        <v>10.4</v>
      </c>
      <c r="L153" s="253"/>
      <c r="N153" s="244"/>
      <c r="O153" s="245"/>
      <c r="P153" s="249" t="str">
        <f>IF(O153&lt;&gt;"",MROUND(O153*64,Param_DSC!$C$60),"")</f>
        <v/>
      </c>
      <c r="Q153" s="249" t="str">
        <f t="shared" si="28"/>
        <v/>
      </c>
      <c r="R153" s="249">
        <f t="shared" si="35"/>
        <v>0</v>
      </c>
      <c r="S153" s="247"/>
      <c r="T153" s="280"/>
      <c r="U153" s="217"/>
    </row>
    <row r="154" spans="1:21" x14ac:dyDescent="0.2">
      <c r="A154" s="203" t="s">
        <v>488</v>
      </c>
      <c r="B154" s="204"/>
      <c r="C154" s="204"/>
      <c r="D154" s="204"/>
      <c r="E154" s="211" t="s">
        <v>147</v>
      </c>
      <c r="F154" s="206">
        <v>0.4</v>
      </c>
      <c r="G154" s="207">
        <f t="shared" si="34"/>
        <v>0.33</v>
      </c>
      <c r="H154" s="208">
        <f t="shared" si="29"/>
        <v>78.787878787878782</v>
      </c>
      <c r="I154" s="209">
        <f t="shared" si="30"/>
        <v>278.39999999999998</v>
      </c>
      <c r="J154" s="210">
        <v>18</v>
      </c>
      <c r="K154" s="210">
        <v>9.6</v>
      </c>
      <c r="L154" s="253"/>
      <c r="N154" s="244"/>
      <c r="O154" s="245"/>
      <c r="P154" s="249" t="str">
        <f>IF(O154&lt;&gt;"",MROUND(O154*64,Param_DSC!$C$60),"")</f>
        <v/>
      </c>
      <c r="Q154" s="249" t="str">
        <f t="shared" si="28"/>
        <v/>
      </c>
      <c r="R154" s="249">
        <f t="shared" si="35"/>
        <v>0</v>
      </c>
      <c r="S154" s="247"/>
      <c r="T154" s="280"/>
      <c r="U154" s="247"/>
    </row>
    <row r="155" spans="1:21" x14ac:dyDescent="0.2">
      <c r="A155" s="203" t="s">
        <v>488</v>
      </c>
      <c r="B155" s="204"/>
      <c r="C155" s="204"/>
      <c r="D155" s="204"/>
      <c r="E155" s="211" t="s">
        <v>148</v>
      </c>
      <c r="F155" s="206">
        <v>0.5</v>
      </c>
      <c r="G155" s="207">
        <f t="shared" si="34"/>
        <v>0.41249999999999998</v>
      </c>
      <c r="H155" s="208">
        <f t="shared" si="29"/>
        <v>63.030303030303031</v>
      </c>
      <c r="I155" s="209">
        <f t="shared" si="30"/>
        <v>258.10000000000002</v>
      </c>
      <c r="J155" s="210">
        <v>17</v>
      </c>
      <c r="K155" s="210">
        <v>8.9</v>
      </c>
      <c r="L155" s="253"/>
      <c r="N155" s="244"/>
      <c r="O155" s="245"/>
      <c r="P155" s="249" t="str">
        <f>IF(O155&lt;&gt;"",MROUND(O155*64,Param_DSC!$C$60),"")</f>
        <v/>
      </c>
      <c r="Q155" s="249" t="str">
        <f t="shared" si="28"/>
        <v/>
      </c>
      <c r="R155" s="249">
        <f t="shared" si="35"/>
        <v>0</v>
      </c>
      <c r="S155" s="247"/>
      <c r="T155" s="280"/>
      <c r="U155" s="217"/>
    </row>
    <row r="156" spans="1:21" x14ac:dyDescent="0.2">
      <c r="A156" s="203" t="s">
        <v>488</v>
      </c>
      <c r="B156" s="204"/>
      <c r="C156" s="204" t="s">
        <v>18</v>
      </c>
      <c r="D156" s="204"/>
      <c r="E156" s="211" t="s">
        <v>504</v>
      </c>
      <c r="F156" s="206">
        <v>0.3</v>
      </c>
      <c r="G156" s="207">
        <f t="shared" si="34"/>
        <v>0.24749999999999997</v>
      </c>
      <c r="H156" s="208">
        <f t="shared" si="29"/>
        <v>105.05050505050507</v>
      </c>
      <c r="I156" s="209">
        <f t="shared" si="30"/>
        <v>295.79999999999995</v>
      </c>
      <c r="J156" s="270">
        <f>ROUND(P156,0)</f>
        <v>19</v>
      </c>
      <c r="K156" s="210">
        <v>10.199999999999999</v>
      </c>
      <c r="L156" s="271"/>
      <c r="N156" s="248"/>
      <c r="O156" s="247">
        <v>0.29099999999999998</v>
      </c>
      <c r="P156" s="249">
        <f>IF(O156&lt;&gt;"",MROUND(O156*64,Param_DSC!$C$60),"")</f>
        <v>18.5</v>
      </c>
      <c r="Q156" s="249">
        <f t="shared" si="28"/>
        <v>7.3913999999999991</v>
      </c>
      <c r="R156" s="249">
        <f t="shared" si="35"/>
        <v>0</v>
      </c>
      <c r="S156" s="247" t="s">
        <v>807</v>
      </c>
      <c r="T156" s="280" t="s">
        <v>144</v>
      </c>
      <c r="U156" s="247"/>
    </row>
    <row r="157" spans="1:21" x14ac:dyDescent="0.2">
      <c r="A157" s="203" t="s">
        <v>488</v>
      </c>
      <c r="B157" s="204"/>
      <c r="C157" s="204" t="s">
        <v>18</v>
      </c>
      <c r="D157" s="204"/>
      <c r="E157" s="211" t="s">
        <v>505</v>
      </c>
      <c r="F157" s="206">
        <v>0.34</v>
      </c>
      <c r="G157" s="207">
        <f t="shared" si="34"/>
        <v>0.28050000000000003</v>
      </c>
      <c r="H157" s="208">
        <f t="shared" si="29"/>
        <v>92.691622103386806</v>
      </c>
      <c r="I157" s="209">
        <f t="shared" si="30"/>
        <v>278.39999999999998</v>
      </c>
      <c r="J157" s="270">
        <f>ROUND(P157,0)</f>
        <v>19</v>
      </c>
      <c r="K157" s="210">
        <v>9.6</v>
      </c>
      <c r="L157" s="271"/>
      <c r="N157" s="248"/>
      <c r="O157" s="247">
        <v>0.28699999999999998</v>
      </c>
      <c r="P157" s="249">
        <f>IF(O157&lt;&gt;"",MROUND(O157*64,Param_DSC!$C$60),"")</f>
        <v>18.5</v>
      </c>
      <c r="Q157" s="249">
        <f t="shared" si="28"/>
        <v>7.2897999999999987</v>
      </c>
      <c r="R157" s="249">
        <f t="shared" si="35"/>
        <v>0</v>
      </c>
      <c r="S157" s="247" t="s">
        <v>807</v>
      </c>
      <c r="T157" s="280" t="s">
        <v>144</v>
      </c>
      <c r="U157" s="247"/>
    </row>
    <row r="158" spans="1:21" x14ac:dyDescent="0.2">
      <c r="A158" s="203" t="s">
        <v>488</v>
      </c>
      <c r="B158" s="204"/>
      <c r="C158" s="204" t="s">
        <v>18</v>
      </c>
      <c r="D158" s="204"/>
      <c r="E158" s="211" t="s">
        <v>506</v>
      </c>
      <c r="F158" s="206">
        <v>0.4</v>
      </c>
      <c r="G158" s="207">
        <f t="shared" si="34"/>
        <v>0.33</v>
      </c>
      <c r="H158" s="208">
        <f t="shared" si="29"/>
        <v>78.787878787878782</v>
      </c>
      <c r="I158" s="209">
        <f t="shared" si="30"/>
        <v>255.20000000000002</v>
      </c>
      <c r="J158" s="270">
        <f>ROUND(P158,0)</f>
        <v>18</v>
      </c>
      <c r="K158" s="210">
        <v>8.8000000000000007</v>
      </c>
      <c r="L158" s="271"/>
      <c r="N158" s="248"/>
      <c r="O158" s="247">
        <v>0.28299999999999997</v>
      </c>
      <c r="P158" s="249">
        <f>IF(O158&lt;&gt;"",MROUND(O158*64,Param_DSC!$C$60),"")</f>
        <v>18</v>
      </c>
      <c r="Q158" s="249">
        <f t="shared" si="28"/>
        <v>7.1881999999999993</v>
      </c>
      <c r="R158" s="249">
        <f t="shared" si="35"/>
        <v>0</v>
      </c>
      <c r="S158" s="247" t="s">
        <v>807</v>
      </c>
      <c r="T158" s="280" t="s">
        <v>144</v>
      </c>
      <c r="U158" s="247"/>
    </row>
    <row r="159" spans="1:21" x14ac:dyDescent="0.2">
      <c r="A159" s="203" t="s">
        <v>488</v>
      </c>
      <c r="B159" s="204"/>
      <c r="C159" s="204" t="s">
        <v>18</v>
      </c>
      <c r="D159" s="204"/>
      <c r="E159" s="211" t="s">
        <v>507</v>
      </c>
      <c r="F159" s="206">
        <v>0.5</v>
      </c>
      <c r="G159" s="207">
        <f t="shared" si="34"/>
        <v>0.41249999999999998</v>
      </c>
      <c r="H159" s="208">
        <f t="shared" si="29"/>
        <v>63.030303030303031</v>
      </c>
      <c r="I159" s="209">
        <f t="shared" si="30"/>
        <v>211.7</v>
      </c>
      <c r="J159" s="270">
        <f>ROUND(P159,0)</f>
        <v>18</v>
      </c>
      <c r="K159" s="210">
        <v>7.3</v>
      </c>
      <c r="L159" s="271"/>
      <c r="N159" s="248"/>
      <c r="O159" s="247">
        <v>0.27600000000000002</v>
      </c>
      <c r="P159" s="249">
        <f>IF(O159&lt;&gt;"",MROUND(O159*64,Param_DSC!$C$60),"")</f>
        <v>17.5</v>
      </c>
      <c r="Q159" s="249">
        <f t="shared" si="28"/>
        <v>7.0104000000000006</v>
      </c>
      <c r="R159" s="249">
        <f t="shared" si="35"/>
        <v>0</v>
      </c>
      <c r="S159" s="247" t="s">
        <v>807</v>
      </c>
      <c r="T159" s="280" t="s">
        <v>144</v>
      </c>
      <c r="U159" s="247"/>
    </row>
    <row r="160" spans="1:21" x14ac:dyDescent="0.2">
      <c r="A160" s="212" t="s">
        <v>165</v>
      </c>
      <c r="B160" s="213">
        <v>7595</v>
      </c>
      <c r="C160" s="204" t="s">
        <v>18</v>
      </c>
      <c r="D160" s="213" t="s">
        <v>784</v>
      </c>
      <c r="E160" s="211" t="s">
        <v>166</v>
      </c>
      <c r="F160" s="206">
        <v>0.32</v>
      </c>
      <c r="G160" s="207">
        <f t="shared" si="34"/>
        <v>0.26400000000000001</v>
      </c>
      <c r="H160" s="208">
        <f t="shared" si="29"/>
        <v>98.484848484848484</v>
      </c>
      <c r="I160" s="209">
        <f t="shared" si="30"/>
        <v>443.70000000000005</v>
      </c>
      <c r="J160" s="273">
        <v>23</v>
      </c>
      <c r="K160" s="210">
        <v>15.3</v>
      </c>
      <c r="L160" s="253">
        <v>32.5</v>
      </c>
      <c r="N160" s="244"/>
      <c r="O160" s="245">
        <v>0.16600000000000001</v>
      </c>
      <c r="P160" s="249">
        <f>IF(O160&lt;&gt;"",MROUND(O160*64,Param_DSC!$C$60),"")</f>
        <v>10.5</v>
      </c>
      <c r="Q160" s="249">
        <f t="shared" si="28"/>
        <v>4.2164000000000001</v>
      </c>
      <c r="R160" s="249">
        <f t="shared" si="35"/>
        <v>825.5</v>
      </c>
      <c r="S160" s="247"/>
      <c r="T160" s="280"/>
      <c r="U160" s="247"/>
    </row>
    <row r="161" spans="1:21" x14ac:dyDescent="0.2">
      <c r="A161" s="212" t="s">
        <v>165</v>
      </c>
      <c r="B161" s="213">
        <v>5575</v>
      </c>
      <c r="C161" s="204" t="s">
        <v>18</v>
      </c>
      <c r="D161" s="213" t="s">
        <v>783</v>
      </c>
      <c r="E161" s="211" t="s">
        <v>167</v>
      </c>
      <c r="F161" s="206">
        <v>0.4</v>
      </c>
      <c r="G161" s="207">
        <f t="shared" si="34"/>
        <v>0.33</v>
      </c>
      <c r="H161" s="208">
        <f t="shared" si="29"/>
        <v>78.787878787878782</v>
      </c>
      <c r="I161" s="209">
        <f t="shared" si="30"/>
        <v>391.5</v>
      </c>
      <c r="J161" s="273">
        <v>23</v>
      </c>
      <c r="K161" s="210">
        <v>13.5</v>
      </c>
      <c r="L161" s="253">
        <v>32.5</v>
      </c>
      <c r="N161" s="244"/>
      <c r="O161" s="245"/>
      <c r="P161" s="249" t="str">
        <f>IF(O161&lt;&gt;"",MROUND(O161*64,Param_DSC!$C$60),"")</f>
        <v/>
      </c>
      <c r="Q161" s="249" t="str">
        <f t="shared" si="28"/>
        <v/>
      </c>
      <c r="R161" s="249">
        <f t="shared" si="35"/>
        <v>825.5</v>
      </c>
      <c r="S161" s="247"/>
      <c r="T161" s="280"/>
      <c r="U161" s="247"/>
    </row>
    <row r="162" spans="1:21" x14ac:dyDescent="0.2">
      <c r="A162" s="212" t="s">
        <v>165</v>
      </c>
      <c r="B162" s="213">
        <v>3555</v>
      </c>
      <c r="C162" s="204" t="s">
        <v>18</v>
      </c>
      <c r="D162" s="213" t="s">
        <v>782</v>
      </c>
      <c r="E162" s="211" t="s">
        <v>168</v>
      </c>
      <c r="F162" s="206">
        <v>0.5</v>
      </c>
      <c r="G162" s="207">
        <f t="shared" si="34"/>
        <v>0.41249999999999998</v>
      </c>
      <c r="H162" s="208">
        <f t="shared" si="29"/>
        <v>63.030303030303031</v>
      </c>
      <c r="I162" s="209">
        <f t="shared" si="30"/>
        <v>379.9</v>
      </c>
      <c r="J162" s="273">
        <v>23</v>
      </c>
      <c r="K162" s="210">
        <v>13.1</v>
      </c>
      <c r="L162" s="253">
        <v>32.5</v>
      </c>
      <c r="N162" s="244"/>
      <c r="O162" s="245"/>
      <c r="P162" s="249" t="str">
        <f>IF(O162&lt;&gt;"",MROUND(O162*64,Param_DSC!$C$60),"")</f>
        <v/>
      </c>
      <c r="Q162" s="249" t="str">
        <f t="shared" ref="Q162:Q186" si="41">IF(O162&lt;&gt;"",O162*25.4,"")</f>
        <v/>
      </c>
      <c r="R162" s="249">
        <f t="shared" si="35"/>
        <v>825.5</v>
      </c>
      <c r="S162" s="247"/>
      <c r="T162" s="280"/>
      <c r="U162" s="247"/>
    </row>
    <row r="163" spans="1:21" x14ac:dyDescent="0.2">
      <c r="A163" s="203" t="s">
        <v>136</v>
      </c>
      <c r="B163" s="204" t="s">
        <v>778</v>
      </c>
      <c r="C163" s="204"/>
      <c r="D163" s="204"/>
      <c r="E163" s="211" t="s">
        <v>466</v>
      </c>
      <c r="F163" s="206">
        <v>0.495</v>
      </c>
      <c r="G163" s="207">
        <f t="shared" si="34"/>
        <v>0.40837499999999999</v>
      </c>
      <c r="H163" s="208">
        <f t="shared" si="29"/>
        <v>63.666972757881851</v>
      </c>
      <c r="I163" s="209">
        <f t="shared" si="30"/>
        <v>188.5</v>
      </c>
      <c r="J163" s="270">
        <f t="shared" ref="J163:J191" si="42">ROUND(P163,0)</f>
        <v>18</v>
      </c>
      <c r="K163" s="210">
        <v>6.5</v>
      </c>
      <c r="L163" s="271"/>
      <c r="M163" s="59"/>
      <c r="N163" s="248"/>
      <c r="O163" s="247">
        <v>0.28399999999999997</v>
      </c>
      <c r="P163" s="249">
        <f>IF(O163&lt;&gt;"",MROUND(O163*64,Param_DSC!$C$60),"")</f>
        <v>18</v>
      </c>
      <c r="Q163" s="249">
        <f t="shared" si="41"/>
        <v>7.2135999999999987</v>
      </c>
      <c r="R163" s="249">
        <f t="shared" si="35"/>
        <v>0</v>
      </c>
      <c r="S163" s="247"/>
      <c r="T163" s="280"/>
      <c r="U163" s="247"/>
    </row>
    <row r="164" spans="1:21" x14ac:dyDescent="0.2">
      <c r="A164" s="203" t="s">
        <v>136</v>
      </c>
      <c r="B164" s="204" t="s">
        <v>775</v>
      </c>
      <c r="C164" s="204"/>
      <c r="D164" s="204"/>
      <c r="E164" s="211" t="s">
        <v>465</v>
      </c>
      <c r="F164" s="206">
        <v>0.40400000000000003</v>
      </c>
      <c r="G164" s="207">
        <f t="shared" si="34"/>
        <v>0.33329999999999999</v>
      </c>
      <c r="H164" s="208">
        <f t="shared" si="29"/>
        <v>78.007800780078014</v>
      </c>
      <c r="I164" s="209">
        <f t="shared" si="30"/>
        <v>214.60000000000002</v>
      </c>
      <c r="J164" s="270">
        <f t="shared" si="42"/>
        <v>19</v>
      </c>
      <c r="K164" s="210">
        <v>7.4</v>
      </c>
      <c r="L164" s="271"/>
      <c r="M164" s="59"/>
      <c r="N164" s="248"/>
      <c r="O164" s="247">
        <v>0.28999999999999998</v>
      </c>
      <c r="P164" s="249">
        <f>IF(O164&lt;&gt;"",MROUND(O164*64,Param_DSC!$C$60),"")</f>
        <v>18.5</v>
      </c>
      <c r="Q164" s="249">
        <f t="shared" si="41"/>
        <v>7.3659999999999988</v>
      </c>
      <c r="R164" s="249">
        <f t="shared" si="35"/>
        <v>0</v>
      </c>
      <c r="S164" s="247"/>
      <c r="T164" s="280"/>
      <c r="U164" s="247"/>
    </row>
    <row r="165" spans="1:21" x14ac:dyDescent="0.2">
      <c r="A165" s="203" t="s">
        <v>136</v>
      </c>
      <c r="B165" s="204" t="s">
        <v>776</v>
      </c>
      <c r="C165" s="204"/>
      <c r="D165" s="204"/>
      <c r="E165" s="211" t="s">
        <v>464</v>
      </c>
      <c r="F165" s="206">
        <v>0.34499999999999997</v>
      </c>
      <c r="G165" s="207">
        <f t="shared" si="34"/>
        <v>0.28462499999999996</v>
      </c>
      <c r="H165" s="208">
        <f t="shared" si="29"/>
        <v>91.348265261308754</v>
      </c>
      <c r="I165" s="209">
        <f t="shared" si="30"/>
        <v>240.70000000000002</v>
      </c>
      <c r="J165" s="270">
        <f t="shared" si="42"/>
        <v>19</v>
      </c>
      <c r="K165" s="210">
        <v>8.3000000000000007</v>
      </c>
      <c r="L165" s="271"/>
      <c r="M165" s="59"/>
      <c r="N165" s="248"/>
      <c r="O165" s="247">
        <v>0.29499999999999998</v>
      </c>
      <c r="P165" s="249">
        <f>IF(O165&lt;&gt;"",MROUND(O165*64,Param_DSC!$C$60),"")</f>
        <v>19</v>
      </c>
      <c r="Q165" s="249">
        <f t="shared" si="41"/>
        <v>7.4929999999999994</v>
      </c>
      <c r="R165" s="249">
        <f t="shared" si="35"/>
        <v>0</v>
      </c>
      <c r="S165" s="247"/>
      <c r="T165" s="280"/>
      <c r="U165" s="247"/>
    </row>
    <row r="166" spans="1:21" x14ac:dyDescent="0.2">
      <c r="A166" s="203" t="s">
        <v>136</v>
      </c>
      <c r="B166" s="204" t="s">
        <v>775</v>
      </c>
      <c r="C166" s="204"/>
      <c r="D166" s="204"/>
      <c r="E166" s="211" t="s">
        <v>469</v>
      </c>
      <c r="F166" s="206">
        <v>0.41699999999999998</v>
      </c>
      <c r="G166" s="207">
        <f t="shared" si="34"/>
        <v>0.34402499999999997</v>
      </c>
      <c r="H166" s="208">
        <f t="shared" si="29"/>
        <v>75.575902914032412</v>
      </c>
      <c r="I166" s="209">
        <f t="shared" ref="I166:I191" si="43">K166*29</f>
        <v>232</v>
      </c>
      <c r="J166" s="270">
        <f t="shared" si="42"/>
        <v>19</v>
      </c>
      <c r="K166" s="210">
        <v>8</v>
      </c>
      <c r="L166" s="271"/>
      <c r="M166" s="59"/>
      <c r="N166" s="248"/>
      <c r="O166" s="247">
        <v>0.29499999999999998</v>
      </c>
      <c r="P166" s="249">
        <f>IF(O166&lt;&gt;"",MROUND(O166*64,Param_DSC!$C$60),"")</f>
        <v>19</v>
      </c>
      <c r="Q166" s="249">
        <f t="shared" si="41"/>
        <v>7.4929999999999994</v>
      </c>
      <c r="R166" s="249">
        <f t="shared" si="35"/>
        <v>0</v>
      </c>
      <c r="S166" s="247"/>
      <c r="T166" s="280"/>
      <c r="U166" s="247"/>
    </row>
    <row r="167" spans="1:21" x14ac:dyDescent="0.2">
      <c r="A167" s="203" t="s">
        <v>136</v>
      </c>
      <c r="B167" s="204" t="s">
        <v>776</v>
      </c>
      <c r="C167" s="204"/>
      <c r="D167" s="204"/>
      <c r="E167" s="211" t="s">
        <v>468</v>
      </c>
      <c r="F167" s="206">
        <v>0.33700000000000002</v>
      </c>
      <c r="G167" s="207">
        <f t="shared" si="34"/>
        <v>0.27802500000000002</v>
      </c>
      <c r="H167" s="208">
        <f t="shared" si="29"/>
        <v>93.51677007463357</v>
      </c>
      <c r="I167" s="209">
        <f t="shared" si="43"/>
        <v>258.10000000000002</v>
      </c>
      <c r="J167" s="270">
        <f t="shared" si="42"/>
        <v>19</v>
      </c>
      <c r="K167" s="210">
        <v>8.9</v>
      </c>
      <c r="L167" s="271"/>
      <c r="M167" s="59"/>
      <c r="N167" s="248"/>
      <c r="O167" s="247">
        <v>0.29699999999999999</v>
      </c>
      <c r="P167" s="249">
        <f>IF(O167&lt;&gt;"",MROUND(O167*64,Param_DSC!$C$60),"")</f>
        <v>19</v>
      </c>
      <c r="Q167" s="249">
        <f t="shared" si="41"/>
        <v>7.5437999999999992</v>
      </c>
      <c r="R167" s="249">
        <f t="shared" si="35"/>
        <v>0</v>
      </c>
      <c r="S167" s="247"/>
      <c r="T167" s="280"/>
      <c r="U167" s="247"/>
    </row>
    <row r="168" spans="1:21" x14ac:dyDescent="0.2">
      <c r="A168" s="203" t="s">
        <v>136</v>
      </c>
      <c r="B168" s="204" t="s">
        <v>777</v>
      </c>
      <c r="C168" s="204"/>
      <c r="D168" s="204"/>
      <c r="E168" s="211" t="s">
        <v>467</v>
      </c>
      <c r="F168" s="206">
        <v>0.29799999999999999</v>
      </c>
      <c r="G168" s="207">
        <f t="shared" si="34"/>
        <v>0.24584999999999999</v>
      </c>
      <c r="H168" s="208">
        <f t="shared" si="29"/>
        <v>105.75554199715275</v>
      </c>
      <c r="I168" s="209">
        <f t="shared" si="43"/>
        <v>281.29999999999995</v>
      </c>
      <c r="J168" s="270">
        <f t="shared" si="42"/>
        <v>20</v>
      </c>
      <c r="K168" s="210">
        <v>9.6999999999999993</v>
      </c>
      <c r="L168" s="271"/>
      <c r="M168" s="59"/>
      <c r="N168" s="248"/>
      <c r="O168" s="247">
        <v>0.30199999999999999</v>
      </c>
      <c r="P168" s="249">
        <f>IF(O168&lt;&gt;"",MROUND(O168*64,Param_DSC!$C$60),"")</f>
        <v>19.5</v>
      </c>
      <c r="Q168" s="249">
        <f t="shared" si="41"/>
        <v>7.670799999999999</v>
      </c>
      <c r="R168" s="249">
        <f t="shared" si="35"/>
        <v>0</v>
      </c>
      <c r="S168" s="247"/>
      <c r="T168" s="280"/>
      <c r="U168" s="247"/>
    </row>
    <row r="169" spans="1:21" x14ac:dyDescent="0.2">
      <c r="A169" s="203" t="s">
        <v>136</v>
      </c>
      <c r="B169" s="204" t="s">
        <v>764</v>
      </c>
      <c r="C169" s="204"/>
      <c r="D169" s="204"/>
      <c r="E169" s="211" t="s">
        <v>471</v>
      </c>
      <c r="F169" s="206">
        <v>0.41699999999999998</v>
      </c>
      <c r="G169" s="207">
        <f t="shared" si="34"/>
        <v>0.34402499999999997</v>
      </c>
      <c r="H169" s="208">
        <f t="shared" si="29"/>
        <v>75.575902914032412</v>
      </c>
      <c r="I169" s="209">
        <f t="shared" si="43"/>
        <v>234.89999999999998</v>
      </c>
      <c r="J169" s="270">
        <f t="shared" si="42"/>
        <v>19</v>
      </c>
      <c r="K169" s="210">
        <v>8.1</v>
      </c>
      <c r="L169" s="271"/>
      <c r="M169" s="59"/>
      <c r="N169" s="248"/>
      <c r="O169" s="247">
        <v>0.29499999999999998</v>
      </c>
      <c r="P169" s="249">
        <f>IF(O169&lt;&gt;"",MROUND(O169*64,Param_DSC!$C$60),"")</f>
        <v>19</v>
      </c>
      <c r="Q169" s="249">
        <f t="shared" si="41"/>
        <v>7.4929999999999994</v>
      </c>
      <c r="R169" s="249">
        <f t="shared" si="35"/>
        <v>0</v>
      </c>
      <c r="S169" s="247"/>
      <c r="T169" s="280"/>
      <c r="U169" s="247"/>
    </row>
    <row r="170" spans="1:21" x14ac:dyDescent="0.2">
      <c r="A170" s="203" t="s">
        <v>136</v>
      </c>
      <c r="B170" s="204" t="s">
        <v>765</v>
      </c>
      <c r="C170" s="204"/>
      <c r="D170" s="204"/>
      <c r="E170" s="211" t="s">
        <v>470</v>
      </c>
      <c r="F170" s="206">
        <v>0.34200000000000003</v>
      </c>
      <c r="G170" s="207">
        <f t="shared" si="34"/>
        <v>0.28215000000000001</v>
      </c>
      <c r="H170" s="208">
        <f t="shared" si="29"/>
        <v>92.14956583377635</v>
      </c>
      <c r="I170" s="209">
        <f t="shared" si="43"/>
        <v>263.89999999999998</v>
      </c>
      <c r="J170" s="270">
        <f t="shared" si="42"/>
        <v>19</v>
      </c>
      <c r="K170" s="210">
        <v>9.1</v>
      </c>
      <c r="L170" s="271"/>
      <c r="M170" s="59"/>
      <c r="N170" s="248"/>
      <c r="O170" s="247">
        <v>0.3</v>
      </c>
      <c r="P170" s="249">
        <f>IF(O170&lt;&gt;"",MROUND(O170*64,Param_DSC!$C$60),"")</f>
        <v>19</v>
      </c>
      <c r="Q170" s="249">
        <f t="shared" si="41"/>
        <v>7.6199999999999992</v>
      </c>
      <c r="R170" s="249">
        <f t="shared" si="35"/>
        <v>0</v>
      </c>
      <c r="S170" s="247"/>
      <c r="T170" s="280"/>
      <c r="U170" s="247"/>
    </row>
    <row r="171" spans="1:21" x14ac:dyDescent="0.2">
      <c r="A171" s="203" t="s">
        <v>136</v>
      </c>
      <c r="B171" s="204" t="s">
        <v>771</v>
      </c>
      <c r="C171" s="204"/>
      <c r="D171" s="204"/>
      <c r="E171" s="211" t="s">
        <v>473</v>
      </c>
      <c r="F171" s="206">
        <v>0.41799999999999998</v>
      </c>
      <c r="G171" s="207">
        <f t="shared" si="34"/>
        <v>0.34484999999999999</v>
      </c>
      <c r="H171" s="208">
        <f t="shared" si="29"/>
        <v>75.395099318544297</v>
      </c>
      <c r="I171" s="209">
        <f t="shared" si="43"/>
        <v>258.10000000000002</v>
      </c>
      <c r="J171" s="270">
        <f t="shared" si="42"/>
        <v>19</v>
      </c>
      <c r="K171" s="210">
        <v>8.9</v>
      </c>
      <c r="L171" s="271"/>
      <c r="M171" s="59"/>
      <c r="N171" s="248"/>
      <c r="O171" s="247">
        <v>0.29899999999999999</v>
      </c>
      <c r="P171" s="249">
        <f>IF(O171&lt;&gt;"",MROUND(O171*64,Param_DSC!$C$60),"")</f>
        <v>19</v>
      </c>
      <c r="Q171" s="249">
        <f t="shared" si="41"/>
        <v>7.5945999999999989</v>
      </c>
      <c r="R171" s="249">
        <f t="shared" si="35"/>
        <v>0</v>
      </c>
      <c r="S171" s="247"/>
      <c r="T171" s="280"/>
      <c r="U171" s="247"/>
    </row>
    <row r="172" spans="1:21" x14ac:dyDescent="0.2">
      <c r="A172" s="203" t="s">
        <v>136</v>
      </c>
      <c r="B172" s="204" t="s">
        <v>772</v>
      </c>
      <c r="C172" s="204"/>
      <c r="D172" s="204"/>
      <c r="E172" s="211" t="s">
        <v>472</v>
      </c>
      <c r="F172" s="206">
        <v>0.34699999999999998</v>
      </c>
      <c r="G172" s="207">
        <f t="shared" si="34"/>
        <v>0.28627499999999995</v>
      </c>
      <c r="H172" s="208">
        <f t="shared" si="29"/>
        <v>90.821762291502949</v>
      </c>
      <c r="I172" s="209">
        <f t="shared" si="43"/>
        <v>284.20000000000005</v>
      </c>
      <c r="J172" s="270">
        <f t="shared" si="42"/>
        <v>20</v>
      </c>
      <c r="K172" s="210">
        <v>9.8000000000000007</v>
      </c>
      <c r="L172" s="271"/>
      <c r="M172" s="59"/>
      <c r="N172" s="248"/>
      <c r="O172" s="247">
        <v>0.30399999999999999</v>
      </c>
      <c r="P172" s="249">
        <f>IF(O172&lt;&gt;"",MROUND(O172*64,Param_DSC!$C$60),"")</f>
        <v>19.5</v>
      </c>
      <c r="Q172" s="249">
        <f t="shared" si="41"/>
        <v>7.7215999999999996</v>
      </c>
      <c r="R172" s="249">
        <f t="shared" si="35"/>
        <v>0</v>
      </c>
      <c r="S172" s="247"/>
      <c r="T172" s="280"/>
      <c r="U172" s="247"/>
    </row>
    <row r="173" spans="1:21" x14ac:dyDescent="0.2">
      <c r="A173" s="203" t="s">
        <v>136</v>
      </c>
      <c r="B173" s="204" t="s">
        <v>773</v>
      </c>
      <c r="C173" s="204"/>
      <c r="D173" s="204"/>
      <c r="E173" s="211" t="s">
        <v>474</v>
      </c>
      <c r="F173" s="206">
        <v>0.505</v>
      </c>
      <c r="G173" s="207">
        <f t="shared" si="34"/>
        <v>0.41662499999999997</v>
      </c>
      <c r="H173" s="208">
        <f t="shared" si="29"/>
        <v>62.406240624062413</v>
      </c>
      <c r="I173" s="209">
        <f t="shared" si="43"/>
        <v>232</v>
      </c>
      <c r="J173" s="270">
        <f t="shared" si="42"/>
        <v>19</v>
      </c>
      <c r="K173" s="210">
        <v>8</v>
      </c>
      <c r="L173" s="271"/>
      <c r="M173" s="59"/>
      <c r="N173" s="248"/>
      <c r="O173" s="247">
        <v>0.29399999999999998</v>
      </c>
      <c r="P173" s="249">
        <f>IF(O173&lt;&gt;"",MROUND(O173*64,Param_DSC!$C$60),"")</f>
        <v>19</v>
      </c>
      <c r="Q173" s="249">
        <f t="shared" si="41"/>
        <v>7.4675999999999991</v>
      </c>
      <c r="R173" s="249">
        <f t="shared" si="35"/>
        <v>0</v>
      </c>
      <c r="S173" s="247"/>
      <c r="T173" s="280"/>
      <c r="U173" s="247"/>
    </row>
    <row r="174" spans="1:21" x14ac:dyDescent="0.2">
      <c r="A174" s="203" t="s">
        <v>136</v>
      </c>
      <c r="B174" s="204" t="s">
        <v>771</v>
      </c>
      <c r="C174" s="204"/>
      <c r="D174" s="204"/>
      <c r="E174" s="211" t="s">
        <v>476</v>
      </c>
      <c r="F174" s="206">
        <v>0.41799999999999998</v>
      </c>
      <c r="G174" s="207">
        <f t="shared" si="34"/>
        <v>0.34484999999999999</v>
      </c>
      <c r="H174" s="208">
        <f t="shared" si="29"/>
        <v>75.395099318544297</v>
      </c>
      <c r="I174" s="209">
        <f t="shared" si="43"/>
        <v>258.10000000000002</v>
      </c>
      <c r="J174" s="270">
        <f t="shared" si="42"/>
        <v>19</v>
      </c>
      <c r="K174" s="210">
        <v>8.9</v>
      </c>
      <c r="L174" s="271"/>
      <c r="M174" s="59"/>
      <c r="N174" s="248"/>
      <c r="O174" s="247">
        <v>0.3</v>
      </c>
      <c r="P174" s="249">
        <f>IF(O174&lt;&gt;"",MROUND(O174*64,Param_DSC!$C$60),"")</f>
        <v>19</v>
      </c>
      <c r="Q174" s="249">
        <f t="shared" si="41"/>
        <v>7.6199999999999992</v>
      </c>
      <c r="R174" s="249">
        <f t="shared" si="35"/>
        <v>0</v>
      </c>
      <c r="S174" s="247"/>
      <c r="T174" s="280"/>
      <c r="U174" s="247"/>
    </row>
    <row r="175" spans="1:21" x14ac:dyDescent="0.2">
      <c r="A175" s="203" t="s">
        <v>136</v>
      </c>
      <c r="B175" s="204" t="s">
        <v>772</v>
      </c>
      <c r="C175" s="204"/>
      <c r="D175" s="204"/>
      <c r="E175" s="211" t="s">
        <v>475</v>
      </c>
      <c r="F175" s="206">
        <v>0.34699999999999998</v>
      </c>
      <c r="G175" s="207">
        <f t="shared" si="34"/>
        <v>0.28627499999999995</v>
      </c>
      <c r="H175" s="208">
        <f t="shared" si="29"/>
        <v>90.821762291502949</v>
      </c>
      <c r="I175" s="209">
        <f t="shared" si="43"/>
        <v>284.20000000000005</v>
      </c>
      <c r="J175" s="270">
        <f t="shared" si="42"/>
        <v>20</v>
      </c>
      <c r="K175" s="210">
        <v>9.8000000000000007</v>
      </c>
      <c r="L175" s="271"/>
      <c r="M175" s="59"/>
      <c r="N175" s="248"/>
      <c r="O175" s="247">
        <v>0.30299999999999999</v>
      </c>
      <c r="P175" s="249">
        <f>IF(O175&lt;&gt;"",MROUND(O175*64,Param_DSC!$C$60),"")</f>
        <v>19.5</v>
      </c>
      <c r="Q175" s="249">
        <f t="shared" si="41"/>
        <v>7.6961999999999993</v>
      </c>
      <c r="R175" s="249">
        <f t="shared" si="35"/>
        <v>0</v>
      </c>
      <c r="S175" s="247"/>
      <c r="T175" s="280"/>
      <c r="U175" s="247"/>
    </row>
    <row r="176" spans="1:21" x14ac:dyDescent="0.2">
      <c r="A176" s="203" t="s">
        <v>136</v>
      </c>
      <c r="B176" s="204" t="s">
        <v>771</v>
      </c>
      <c r="C176" s="204"/>
      <c r="D176" s="204"/>
      <c r="E176" s="211" t="s">
        <v>478</v>
      </c>
      <c r="F176" s="206">
        <v>0.40400000000000003</v>
      </c>
      <c r="G176" s="207">
        <f t="shared" si="34"/>
        <v>0.33329999999999999</v>
      </c>
      <c r="H176" s="208">
        <f t="shared" si="29"/>
        <v>78.007800780078014</v>
      </c>
      <c r="I176" s="209">
        <f t="shared" si="43"/>
        <v>246.5</v>
      </c>
      <c r="J176" s="270">
        <f t="shared" si="42"/>
        <v>19</v>
      </c>
      <c r="K176" s="210">
        <v>8.5</v>
      </c>
      <c r="L176" s="271"/>
      <c r="M176" s="59"/>
      <c r="N176" s="248"/>
      <c r="O176" s="247">
        <v>0.29199999999999998</v>
      </c>
      <c r="P176" s="249">
        <f>IF(O176&lt;&gt;"",MROUND(O176*64,Param_DSC!$C$60),"")</f>
        <v>18.5</v>
      </c>
      <c r="Q176" s="249">
        <f t="shared" si="41"/>
        <v>7.4167999999999994</v>
      </c>
      <c r="R176" s="249">
        <f t="shared" si="35"/>
        <v>0</v>
      </c>
      <c r="S176" s="247"/>
      <c r="T176" s="280"/>
      <c r="U176" s="247"/>
    </row>
    <row r="177" spans="1:21" x14ac:dyDescent="0.2">
      <c r="A177" s="203" t="s">
        <v>136</v>
      </c>
      <c r="B177" s="204" t="s">
        <v>772</v>
      </c>
      <c r="C177" s="204"/>
      <c r="D177" s="204"/>
      <c r="E177" s="211" t="s">
        <v>477</v>
      </c>
      <c r="F177" s="206">
        <v>0.33200000000000002</v>
      </c>
      <c r="G177" s="207">
        <f t="shared" si="34"/>
        <v>0.27389999999999998</v>
      </c>
      <c r="H177" s="208">
        <f t="shared" si="29"/>
        <v>94.925155166119026</v>
      </c>
      <c r="I177" s="209">
        <f t="shared" si="43"/>
        <v>272.60000000000002</v>
      </c>
      <c r="J177" s="270">
        <f t="shared" si="42"/>
        <v>19</v>
      </c>
      <c r="K177" s="210">
        <v>9.4</v>
      </c>
      <c r="L177" s="271"/>
      <c r="M177" s="59"/>
      <c r="N177" s="248"/>
      <c r="O177" s="247">
        <v>0.29699999999999999</v>
      </c>
      <c r="P177" s="249">
        <f>IF(O177&lt;&gt;"",MROUND(O177*64,Param_DSC!$C$60),"")</f>
        <v>19</v>
      </c>
      <c r="Q177" s="249">
        <f t="shared" si="41"/>
        <v>7.5437999999999992</v>
      </c>
      <c r="R177" s="249">
        <f t="shared" si="35"/>
        <v>0</v>
      </c>
      <c r="S177" s="247"/>
      <c r="T177" s="280"/>
      <c r="U177" s="247"/>
    </row>
    <row r="178" spans="1:21" x14ac:dyDescent="0.2">
      <c r="A178" s="203" t="s">
        <v>136</v>
      </c>
      <c r="B178" s="204" t="s">
        <v>771</v>
      </c>
      <c r="C178" s="204"/>
      <c r="D178" s="204"/>
      <c r="E178" s="211" t="s">
        <v>480</v>
      </c>
      <c r="F178" s="206">
        <v>0.39200000000000002</v>
      </c>
      <c r="G178" s="207">
        <f t="shared" si="34"/>
        <v>0.32340000000000002</v>
      </c>
      <c r="H178" s="208">
        <f t="shared" si="29"/>
        <v>80.39579468150896</v>
      </c>
      <c r="I178" s="209">
        <f t="shared" si="43"/>
        <v>203</v>
      </c>
      <c r="J178" s="270">
        <f t="shared" si="42"/>
        <v>19</v>
      </c>
      <c r="K178" s="210">
        <v>7</v>
      </c>
      <c r="L178" s="271"/>
      <c r="M178" s="59"/>
      <c r="N178" s="248"/>
      <c r="O178" s="247">
        <v>0.28799999999999998</v>
      </c>
      <c r="P178" s="249">
        <f>IF(O178&lt;&gt;"",MROUND(O178*64,Param_DSC!$C$60),"")</f>
        <v>18.5</v>
      </c>
      <c r="Q178" s="249">
        <f t="shared" si="41"/>
        <v>7.315199999999999</v>
      </c>
      <c r="R178" s="249">
        <f t="shared" si="35"/>
        <v>0</v>
      </c>
      <c r="S178" s="247"/>
      <c r="T178" s="280"/>
      <c r="U178" s="247"/>
    </row>
    <row r="179" spans="1:21" x14ac:dyDescent="0.2">
      <c r="A179" s="203" t="s">
        <v>136</v>
      </c>
      <c r="B179" s="204" t="s">
        <v>772</v>
      </c>
      <c r="C179" s="204"/>
      <c r="D179" s="204"/>
      <c r="E179" s="211" t="s">
        <v>479</v>
      </c>
      <c r="F179" s="206">
        <v>0.33900000000000002</v>
      </c>
      <c r="G179" s="207">
        <f t="shared" si="34"/>
        <v>0.27967500000000001</v>
      </c>
      <c r="H179" s="208">
        <f t="shared" si="29"/>
        <v>92.965048717261098</v>
      </c>
      <c r="I179" s="209">
        <f t="shared" si="43"/>
        <v>229.10000000000002</v>
      </c>
      <c r="J179" s="270">
        <f t="shared" si="42"/>
        <v>19</v>
      </c>
      <c r="K179" s="210">
        <v>7.9</v>
      </c>
      <c r="L179" s="271"/>
      <c r="M179" s="59"/>
      <c r="N179" s="248"/>
      <c r="O179" s="247">
        <v>0.29299999999999998</v>
      </c>
      <c r="P179" s="249">
        <f>IF(O179&lt;&gt;"",MROUND(O179*64,Param_DSC!$C$60),"")</f>
        <v>19</v>
      </c>
      <c r="Q179" s="249">
        <f t="shared" si="41"/>
        <v>7.4421999999999988</v>
      </c>
      <c r="R179" s="249">
        <f t="shared" si="35"/>
        <v>0</v>
      </c>
      <c r="S179" s="247"/>
      <c r="T179" s="280"/>
      <c r="U179" s="247"/>
    </row>
    <row r="180" spans="1:21" x14ac:dyDescent="0.2">
      <c r="A180" s="203" t="s">
        <v>136</v>
      </c>
      <c r="B180" s="204" t="s">
        <v>771</v>
      </c>
      <c r="C180" s="204"/>
      <c r="D180" s="204"/>
      <c r="E180" s="211" t="s">
        <v>483</v>
      </c>
      <c r="F180" s="206">
        <v>0.40200000000000002</v>
      </c>
      <c r="G180" s="207">
        <f t="shared" si="34"/>
        <v>0.33165</v>
      </c>
      <c r="H180" s="208">
        <f t="shared" si="29"/>
        <v>78.395899291421685</v>
      </c>
      <c r="I180" s="209">
        <f t="shared" si="43"/>
        <v>301.60000000000002</v>
      </c>
      <c r="J180" s="270">
        <f t="shared" si="42"/>
        <v>20</v>
      </c>
      <c r="K180" s="210">
        <v>10.4</v>
      </c>
      <c r="L180" s="271"/>
      <c r="M180" s="59"/>
      <c r="N180" s="248"/>
      <c r="O180" s="247">
        <v>0.30399999999999999</v>
      </c>
      <c r="P180" s="249">
        <f>IF(O180&lt;&gt;"",MROUND(O180*64,Param_DSC!$C$60),"")</f>
        <v>19.5</v>
      </c>
      <c r="Q180" s="249">
        <f t="shared" si="41"/>
        <v>7.7215999999999996</v>
      </c>
      <c r="R180" s="249">
        <f t="shared" si="35"/>
        <v>0</v>
      </c>
      <c r="S180" s="247"/>
      <c r="T180" s="280"/>
      <c r="U180" s="247"/>
    </row>
    <row r="181" spans="1:21" x14ac:dyDescent="0.2">
      <c r="A181" s="203" t="s">
        <v>136</v>
      </c>
      <c r="B181" s="204" t="s">
        <v>772</v>
      </c>
      <c r="C181" s="204"/>
      <c r="D181" s="204"/>
      <c r="E181" s="211" t="s">
        <v>482</v>
      </c>
      <c r="F181" s="206">
        <v>0.34499999999999997</v>
      </c>
      <c r="G181" s="207">
        <f t="shared" si="34"/>
        <v>0.28462499999999996</v>
      </c>
      <c r="H181" s="208">
        <f t="shared" si="29"/>
        <v>91.348265261308754</v>
      </c>
      <c r="I181" s="209">
        <f t="shared" si="43"/>
        <v>327.70000000000005</v>
      </c>
      <c r="J181" s="270">
        <f t="shared" si="42"/>
        <v>20</v>
      </c>
      <c r="K181" s="210">
        <v>11.3</v>
      </c>
      <c r="L181" s="271"/>
      <c r="M181" s="59"/>
      <c r="N181" s="248"/>
      <c r="O181" s="247">
        <v>0.308</v>
      </c>
      <c r="P181" s="249">
        <f>IF(O181&lt;&gt;"",MROUND(O181*64,Param_DSC!$C$60),"")</f>
        <v>19.5</v>
      </c>
      <c r="Q181" s="249">
        <f t="shared" si="41"/>
        <v>7.823199999999999</v>
      </c>
      <c r="R181" s="249">
        <f t="shared" si="35"/>
        <v>0</v>
      </c>
      <c r="S181" s="247"/>
      <c r="T181" s="280"/>
      <c r="U181" s="247"/>
    </row>
    <row r="182" spans="1:21" x14ac:dyDescent="0.2">
      <c r="A182" s="203" t="s">
        <v>136</v>
      </c>
      <c r="B182" s="204" t="s">
        <v>774</v>
      </c>
      <c r="C182" s="204"/>
      <c r="D182" s="204"/>
      <c r="E182" s="211" t="s">
        <v>481</v>
      </c>
      <c r="F182" s="206">
        <v>0.3</v>
      </c>
      <c r="G182" s="207">
        <f t="shared" si="34"/>
        <v>0.24749999999999997</v>
      </c>
      <c r="H182" s="208">
        <f t="shared" si="29"/>
        <v>105.05050505050507</v>
      </c>
      <c r="I182" s="209">
        <f t="shared" si="43"/>
        <v>394.4</v>
      </c>
      <c r="J182" s="270">
        <f t="shared" si="42"/>
        <v>21</v>
      </c>
      <c r="K182" s="210">
        <v>13.6</v>
      </c>
      <c r="L182" s="271"/>
      <c r="M182" s="59"/>
      <c r="N182" s="248"/>
      <c r="O182" s="247">
        <v>0.318</v>
      </c>
      <c r="P182" s="249">
        <f>IF(O182&lt;&gt;"",MROUND(O182*64,Param_DSC!$C$60),"")</f>
        <v>20.5</v>
      </c>
      <c r="Q182" s="249">
        <f t="shared" si="41"/>
        <v>8.0771999999999995</v>
      </c>
      <c r="R182" s="249">
        <f t="shared" si="35"/>
        <v>0</v>
      </c>
      <c r="S182" s="247"/>
      <c r="T182" s="280"/>
      <c r="U182" s="247"/>
    </row>
    <row r="183" spans="1:21" x14ac:dyDescent="0.2">
      <c r="A183" s="203" t="s">
        <v>136</v>
      </c>
      <c r="B183" s="204"/>
      <c r="C183" s="204"/>
      <c r="D183" s="204"/>
      <c r="E183" s="211" t="s">
        <v>487</v>
      </c>
      <c r="F183" s="206">
        <v>0.623</v>
      </c>
      <c r="G183" s="207">
        <f t="shared" si="34"/>
        <v>0.51397499999999996</v>
      </c>
      <c r="H183" s="208">
        <f t="shared" si="29"/>
        <v>50.586118001848341</v>
      </c>
      <c r="I183" s="209">
        <f t="shared" si="43"/>
        <v>203</v>
      </c>
      <c r="J183" s="270">
        <f t="shared" si="42"/>
        <v>18</v>
      </c>
      <c r="K183" s="210">
        <v>7</v>
      </c>
      <c r="L183" s="271"/>
      <c r="M183" s="59"/>
      <c r="N183" s="248"/>
      <c r="O183" s="247">
        <v>0.27700000000000002</v>
      </c>
      <c r="P183" s="249">
        <f>IF(O183&lt;&gt;"",MROUND(O183*64,Param_DSC!$C$60),"")</f>
        <v>17.5</v>
      </c>
      <c r="Q183" s="249">
        <f t="shared" si="41"/>
        <v>7.0358000000000001</v>
      </c>
      <c r="R183" s="249">
        <f t="shared" si="35"/>
        <v>0</v>
      </c>
      <c r="S183" s="247"/>
      <c r="T183" s="280"/>
      <c r="U183" s="247"/>
    </row>
    <row r="184" spans="1:21" x14ac:dyDescent="0.2">
      <c r="A184" s="203" t="s">
        <v>136</v>
      </c>
      <c r="B184" s="204"/>
      <c r="C184" s="204"/>
      <c r="D184" s="204"/>
      <c r="E184" s="211" t="s">
        <v>486</v>
      </c>
      <c r="F184" s="206">
        <v>0.505</v>
      </c>
      <c r="G184" s="207">
        <f t="shared" si="34"/>
        <v>0.41662499999999997</v>
      </c>
      <c r="H184" s="208">
        <f t="shared" si="29"/>
        <v>62.406240624062413</v>
      </c>
      <c r="I184" s="209">
        <f t="shared" si="43"/>
        <v>240.70000000000002</v>
      </c>
      <c r="J184" s="270">
        <f t="shared" si="42"/>
        <v>18</v>
      </c>
      <c r="K184" s="210">
        <v>8.3000000000000007</v>
      </c>
      <c r="L184" s="271"/>
      <c r="M184" s="59"/>
      <c r="N184" s="248"/>
      <c r="O184" s="247">
        <v>0.28299999999999997</v>
      </c>
      <c r="P184" s="249">
        <f>IF(O184&lt;&gt;"",MROUND(O184*64,Param_DSC!$C$60),"")</f>
        <v>18</v>
      </c>
      <c r="Q184" s="249">
        <f t="shared" si="41"/>
        <v>7.1881999999999993</v>
      </c>
      <c r="R184" s="249">
        <f t="shared" si="35"/>
        <v>0</v>
      </c>
      <c r="S184" s="247"/>
      <c r="T184" s="280"/>
      <c r="U184" s="247"/>
    </row>
    <row r="185" spans="1:21" x14ac:dyDescent="0.2">
      <c r="A185" s="203" t="s">
        <v>136</v>
      </c>
      <c r="B185" s="204"/>
      <c r="C185" s="204"/>
      <c r="D185" s="204"/>
      <c r="E185" s="211" t="s">
        <v>485</v>
      </c>
      <c r="F185" s="206">
        <v>0.40300000000000002</v>
      </c>
      <c r="G185" s="207">
        <f t="shared" si="34"/>
        <v>0.33247500000000002</v>
      </c>
      <c r="H185" s="208">
        <f t="shared" si="29"/>
        <v>78.201368523949171</v>
      </c>
      <c r="I185" s="209">
        <f t="shared" si="43"/>
        <v>255.20000000000002</v>
      </c>
      <c r="J185" s="270">
        <f t="shared" si="42"/>
        <v>19</v>
      </c>
      <c r="K185" s="210">
        <v>8.8000000000000007</v>
      </c>
      <c r="L185" s="271"/>
      <c r="M185" s="59"/>
      <c r="N185" s="248"/>
      <c r="O185" s="247">
        <v>0.29299999999999998</v>
      </c>
      <c r="P185" s="249">
        <f>IF(O185&lt;&gt;"",MROUND(O185*64,Param_DSC!$C$60),"")</f>
        <v>19</v>
      </c>
      <c r="Q185" s="249">
        <f t="shared" si="41"/>
        <v>7.4421999999999988</v>
      </c>
      <c r="R185" s="249">
        <f t="shared" si="35"/>
        <v>0</v>
      </c>
      <c r="S185" s="247"/>
      <c r="T185" s="280"/>
      <c r="U185" s="247"/>
    </row>
    <row r="186" spans="1:21" x14ac:dyDescent="0.2">
      <c r="A186" s="203" t="s">
        <v>136</v>
      </c>
      <c r="B186" s="204"/>
      <c r="C186" s="204"/>
      <c r="D186" s="204"/>
      <c r="E186" s="211" t="s">
        <v>484</v>
      </c>
      <c r="F186" s="206">
        <v>0.34399999999999997</v>
      </c>
      <c r="G186" s="207">
        <f t="shared" si="34"/>
        <v>0.28379999999999994</v>
      </c>
      <c r="H186" s="208">
        <f t="shared" si="29"/>
        <v>91.613812544045118</v>
      </c>
      <c r="I186" s="209">
        <f t="shared" si="43"/>
        <v>281.29999999999995</v>
      </c>
      <c r="J186" s="270">
        <f t="shared" si="42"/>
        <v>19</v>
      </c>
      <c r="K186" s="210">
        <v>9.6999999999999993</v>
      </c>
      <c r="L186" s="271"/>
      <c r="M186" s="59"/>
      <c r="N186" s="248"/>
      <c r="O186" s="247">
        <v>0.29799999999999999</v>
      </c>
      <c r="P186" s="249">
        <f>IF(O186&lt;&gt;"",MROUND(O186*64,Param_DSC!$C$60),"")</f>
        <v>19</v>
      </c>
      <c r="Q186" s="249">
        <f t="shared" si="41"/>
        <v>7.5691999999999995</v>
      </c>
      <c r="R186" s="249">
        <f t="shared" si="35"/>
        <v>0</v>
      </c>
      <c r="S186" s="247"/>
      <c r="T186" s="280"/>
      <c r="U186" s="247"/>
    </row>
    <row r="187" spans="1:21" x14ac:dyDescent="0.2">
      <c r="A187" s="212" t="s">
        <v>136</v>
      </c>
      <c r="B187" s="213" t="s">
        <v>766</v>
      </c>
      <c r="C187" s="213"/>
      <c r="D187" s="213"/>
      <c r="E187" s="214" t="s">
        <v>135</v>
      </c>
      <c r="F187" s="215">
        <v>0.67</v>
      </c>
      <c r="G187" s="207">
        <f t="shared" si="34"/>
        <v>0.55274999999999996</v>
      </c>
      <c r="H187" s="208">
        <f t="shared" si="29"/>
        <v>47.037539574853014</v>
      </c>
      <c r="I187" s="209">
        <f t="shared" si="43"/>
        <v>252.01</v>
      </c>
      <c r="J187" s="270">
        <f t="shared" si="42"/>
        <v>19</v>
      </c>
      <c r="K187" s="216">
        <v>8.69</v>
      </c>
      <c r="L187" s="253"/>
      <c r="M187" s="59"/>
      <c r="N187" s="244"/>
      <c r="O187" s="245">
        <v>0.28699999999999998</v>
      </c>
      <c r="P187" s="249">
        <f>IF(O187&lt;&gt;"",MROUND(O187*64,Param_DSC!$C$60),"")</f>
        <v>18.5</v>
      </c>
      <c r="Q187" s="246">
        <f>U187*T187</f>
        <v>20</v>
      </c>
      <c r="R187" s="249">
        <f t="shared" si="35"/>
        <v>0</v>
      </c>
      <c r="S187" s="254" t="s">
        <v>301</v>
      </c>
      <c r="T187" s="280">
        <f>64/16</f>
        <v>4</v>
      </c>
      <c r="U187" s="247">
        <v>5</v>
      </c>
    </row>
    <row r="188" spans="1:21" x14ac:dyDescent="0.2">
      <c r="A188" s="212" t="s">
        <v>136</v>
      </c>
      <c r="B188" s="213" t="s">
        <v>767</v>
      </c>
      <c r="C188" s="213"/>
      <c r="D188" s="213"/>
      <c r="E188" s="214" t="s">
        <v>137</v>
      </c>
      <c r="F188" s="215">
        <v>0.58799999999999997</v>
      </c>
      <c r="G188" s="207">
        <f t="shared" si="34"/>
        <v>0.48509999999999992</v>
      </c>
      <c r="H188" s="208">
        <f t="shared" si="29"/>
        <v>53.597196454339318</v>
      </c>
      <c r="I188" s="209">
        <f t="shared" si="43"/>
        <v>281.59000000000003</v>
      </c>
      <c r="J188" s="270">
        <f t="shared" si="42"/>
        <v>19</v>
      </c>
      <c r="K188" s="216">
        <v>9.7100000000000009</v>
      </c>
      <c r="L188" s="253"/>
      <c r="M188" s="59"/>
      <c r="N188" s="244"/>
      <c r="O188" s="245">
        <v>0.29499999999999998</v>
      </c>
      <c r="P188" s="249">
        <f>IF(O188&lt;&gt;"",MROUND(O188*64,Param_DSC!$C$60),"")</f>
        <v>19</v>
      </c>
      <c r="Q188" s="246">
        <f>U188*T188</f>
        <v>22</v>
      </c>
      <c r="R188" s="249">
        <f t="shared" si="35"/>
        <v>0</v>
      </c>
      <c r="S188" s="254" t="s">
        <v>302</v>
      </c>
      <c r="T188" s="280">
        <f>64/32</f>
        <v>2</v>
      </c>
      <c r="U188" s="247">
        <v>11</v>
      </c>
    </row>
    <row r="189" spans="1:21" x14ac:dyDescent="0.2">
      <c r="A189" s="212" t="s">
        <v>136</v>
      </c>
      <c r="B189" s="213" t="s">
        <v>768</v>
      </c>
      <c r="C189" s="213"/>
      <c r="D189" s="213"/>
      <c r="E189" s="214" t="s">
        <v>138</v>
      </c>
      <c r="F189" s="215">
        <v>0.495</v>
      </c>
      <c r="G189" s="207">
        <f t="shared" si="34"/>
        <v>0.40837499999999999</v>
      </c>
      <c r="H189" s="208">
        <f t="shared" si="29"/>
        <v>63.666972757881851</v>
      </c>
      <c r="I189" s="209">
        <f t="shared" si="43"/>
        <v>293.19</v>
      </c>
      <c r="J189" s="270">
        <f t="shared" si="42"/>
        <v>20</v>
      </c>
      <c r="K189" s="216">
        <v>10.11</v>
      </c>
      <c r="L189" s="253"/>
      <c r="M189" s="59"/>
      <c r="N189" s="244"/>
      <c r="O189" s="245">
        <v>0.30499999999999999</v>
      </c>
      <c r="P189" s="249">
        <f>IF(O189&lt;&gt;"",MROUND(O189*64,Param_DSC!$C$60),"")</f>
        <v>19.5</v>
      </c>
      <c r="Q189" s="246">
        <v>23</v>
      </c>
      <c r="R189" s="249">
        <f t="shared" si="35"/>
        <v>0</v>
      </c>
      <c r="S189" s="254" t="s">
        <v>303</v>
      </c>
      <c r="T189" s="280"/>
      <c r="U189" s="247"/>
    </row>
    <row r="190" spans="1:21" x14ac:dyDescent="0.2">
      <c r="A190" s="212" t="s">
        <v>136</v>
      </c>
      <c r="B190" s="213" t="s">
        <v>769</v>
      </c>
      <c r="C190" s="213"/>
      <c r="D190" s="213"/>
      <c r="E190" s="214" t="s">
        <v>139</v>
      </c>
      <c r="F190" s="215">
        <v>0.39100000000000001</v>
      </c>
      <c r="G190" s="207">
        <f t="shared" si="34"/>
        <v>0.322575</v>
      </c>
      <c r="H190" s="208">
        <f t="shared" si="29"/>
        <v>80.601410524684184</v>
      </c>
      <c r="I190" s="209">
        <f t="shared" si="43"/>
        <v>295.79999999999995</v>
      </c>
      <c r="J190" s="270">
        <f t="shared" si="42"/>
        <v>20</v>
      </c>
      <c r="K190" s="216">
        <v>10.199999999999999</v>
      </c>
      <c r="L190" s="253"/>
      <c r="M190" s="59"/>
      <c r="N190" s="244"/>
      <c r="O190" s="245">
        <v>0.30599999999999999</v>
      </c>
      <c r="P190" s="249">
        <f>IF(O190&lt;&gt;"",MROUND(O190*64,Param_DSC!$C$60),"")</f>
        <v>19.5</v>
      </c>
      <c r="Q190" s="249">
        <f t="shared" ref="Q190:Q266" si="44">IF(O190&lt;&gt;"",O190*25.4,"")</f>
        <v>7.7723999999999993</v>
      </c>
      <c r="R190" s="249">
        <f t="shared" si="35"/>
        <v>0</v>
      </c>
      <c r="S190" s="254"/>
      <c r="T190" s="280"/>
      <c r="U190" s="247"/>
    </row>
    <row r="191" spans="1:21" x14ac:dyDescent="0.2">
      <c r="A191" s="212" t="s">
        <v>136</v>
      </c>
      <c r="B191" s="213" t="s">
        <v>770</v>
      </c>
      <c r="C191" s="213"/>
      <c r="D191" s="213"/>
      <c r="E191" s="214" t="s">
        <v>140</v>
      </c>
      <c r="F191" s="215">
        <v>0.32400000000000001</v>
      </c>
      <c r="G191" s="207">
        <f t="shared" si="34"/>
        <v>0.26729999999999998</v>
      </c>
      <c r="H191" s="208">
        <f t="shared" si="29"/>
        <v>97.268986157875048</v>
      </c>
      <c r="I191" s="209">
        <f t="shared" si="43"/>
        <v>332.04999999999995</v>
      </c>
      <c r="J191" s="270">
        <f t="shared" si="42"/>
        <v>20</v>
      </c>
      <c r="K191" s="216">
        <v>11.45</v>
      </c>
      <c r="L191" s="253"/>
      <c r="M191" s="59"/>
      <c r="N191" s="244"/>
      <c r="O191" s="245">
        <v>0.312</v>
      </c>
      <c r="P191" s="249">
        <f>IF(O191&lt;&gt;"",MROUND(O191*64,Param_DSC!$C$60),"")</f>
        <v>20</v>
      </c>
      <c r="Q191" s="249">
        <f t="shared" si="44"/>
        <v>7.9247999999999994</v>
      </c>
      <c r="R191" s="249">
        <f t="shared" si="35"/>
        <v>0</v>
      </c>
      <c r="S191" s="247"/>
      <c r="T191" s="280"/>
      <c r="U191" s="247"/>
    </row>
    <row r="192" spans="1:21" x14ac:dyDescent="0.2">
      <c r="A192" s="203" t="s">
        <v>136</v>
      </c>
      <c r="B192" s="204" t="s">
        <v>775</v>
      </c>
      <c r="C192" s="204"/>
      <c r="D192" s="204"/>
      <c r="E192" s="214" t="s">
        <v>169</v>
      </c>
      <c r="F192" s="215">
        <v>0.5</v>
      </c>
      <c r="G192" s="207">
        <f t="shared" si="34"/>
        <v>0.41249999999999998</v>
      </c>
      <c r="H192" s="208">
        <f t="shared" si="29"/>
        <v>63.030303030303031</v>
      </c>
      <c r="I192" s="209">
        <f>6.3*29</f>
        <v>182.7</v>
      </c>
      <c r="J192" s="217">
        <v>20</v>
      </c>
      <c r="K192" s="216">
        <f>I192/29</f>
        <v>6.3</v>
      </c>
      <c r="L192" s="218"/>
      <c r="M192" s="59"/>
      <c r="N192" s="244"/>
      <c r="O192" s="245"/>
      <c r="P192" s="249" t="str">
        <f>IF(O192&lt;&gt;"",MROUND(O192*64,Param_DSC!$C$60),"")</f>
        <v/>
      </c>
      <c r="Q192" s="249" t="str">
        <f t="shared" si="44"/>
        <v/>
      </c>
      <c r="R192" s="249">
        <f t="shared" si="35"/>
        <v>0</v>
      </c>
      <c r="S192" s="247"/>
      <c r="T192" s="280"/>
      <c r="U192" s="247"/>
    </row>
    <row r="193" spans="1:21" x14ac:dyDescent="0.2">
      <c r="A193" s="203" t="s">
        <v>136</v>
      </c>
      <c r="B193" s="204" t="s">
        <v>776</v>
      </c>
      <c r="C193" s="204"/>
      <c r="D193" s="204"/>
      <c r="E193" s="214" t="s">
        <v>170</v>
      </c>
      <c r="F193" s="215">
        <v>0.4</v>
      </c>
      <c r="G193" s="207">
        <f t="shared" si="34"/>
        <v>0.33</v>
      </c>
      <c r="H193" s="208">
        <f t="shared" si="29"/>
        <v>78.787878787878782</v>
      </c>
      <c r="I193" s="209">
        <f>7.3*29</f>
        <v>211.7</v>
      </c>
      <c r="J193" s="217">
        <v>20</v>
      </c>
      <c r="K193" s="216">
        <f>I193/29</f>
        <v>7.3</v>
      </c>
      <c r="L193" s="218"/>
      <c r="M193" s="59"/>
      <c r="N193" s="244"/>
      <c r="O193" s="245"/>
      <c r="P193" s="249" t="str">
        <f>IF(O193&lt;&gt;"",MROUND(O193*64,Param_DSC!$C$60),"")</f>
        <v/>
      </c>
      <c r="Q193" s="249" t="str">
        <f t="shared" si="44"/>
        <v/>
      </c>
      <c r="R193" s="249">
        <f t="shared" si="35"/>
        <v>0</v>
      </c>
      <c r="S193" s="247"/>
      <c r="T193" s="280"/>
      <c r="U193" s="247"/>
    </row>
    <row r="194" spans="1:21" x14ac:dyDescent="0.2">
      <c r="A194" s="203" t="s">
        <v>136</v>
      </c>
      <c r="B194" s="204" t="s">
        <v>777</v>
      </c>
      <c r="C194" s="204"/>
      <c r="D194" s="204"/>
      <c r="E194" s="214" t="s">
        <v>170</v>
      </c>
      <c r="F194" s="215">
        <v>0.34499999999999997</v>
      </c>
      <c r="G194" s="207">
        <f t="shared" si="34"/>
        <v>0.28462499999999996</v>
      </c>
      <c r="H194" s="208">
        <f t="shared" si="29"/>
        <v>91.348265261308754</v>
      </c>
      <c r="I194" s="209">
        <f>8.2*29</f>
        <v>237.79999999999998</v>
      </c>
      <c r="J194" s="217">
        <v>20</v>
      </c>
      <c r="K194" s="216">
        <f>I194/29</f>
        <v>8.1999999999999993</v>
      </c>
      <c r="L194" s="218"/>
      <c r="M194" s="59"/>
      <c r="N194" s="244"/>
      <c r="O194" s="245"/>
      <c r="P194" s="249" t="str">
        <f>IF(O194&lt;&gt;"",MROUND(O194*64,Param_DSC!$C$60),"")</f>
        <v/>
      </c>
      <c r="Q194" s="249" t="str">
        <f t="shared" si="44"/>
        <v/>
      </c>
      <c r="R194" s="249">
        <f t="shared" si="35"/>
        <v>0</v>
      </c>
      <c r="S194" s="247"/>
      <c r="T194" s="280"/>
      <c r="U194" s="217"/>
    </row>
    <row r="195" spans="1:21" x14ac:dyDescent="0.2">
      <c r="A195" s="203" t="s">
        <v>136</v>
      </c>
      <c r="B195" s="204" t="s">
        <v>778</v>
      </c>
      <c r="C195" s="204"/>
      <c r="D195" s="204"/>
      <c r="E195" s="214" t="s">
        <v>171</v>
      </c>
      <c r="F195" s="215">
        <v>0.41699999999999998</v>
      </c>
      <c r="G195" s="207">
        <f t="shared" si="34"/>
        <v>0.34402499999999997</v>
      </c>
      <c r="H195" s="208">
        <f t="shared" si="29"/>
        <v>75.575902914032412</v>
      </c>
      <c r="I195" s="209">
        <f>6.3*29</f>
        <v>182.7</v>
      </c>
      <c r="J195" s="270">
        <f>ROUND(P195,0)</f>
        <v>19</v>
      </c>
      <c r="K195" s="216">
        <v>8</v>
      </c>
      <c r="L195" s="218"/>
      <c r="M195" s="59"/>
      <c r="N195" s="244"/>
      <c r="O195" s="245">
        <v>0.29499999999999998</v>
      </c>
      <c r="P195" s="249">
        <f>IF(O195&lt;&gt;"",MROUND(O195*64,Param_DSC!$C$60),"")</f>
        <v>19</v>
      </c>
      <c r="Q195" s="249">
        <f t="shared" si="44"/>
        <v>7.4929999999999994</v>
      </c>
      <c r="R195" s="249">
        <f t="shared" si="35"/>
        <v>0</v>
      </c>
      <c r="S195" s="255"/>
      <c r="T195" s="280"/>
      <c r="U195" s="247"/>
    </row>
    <row r="196" spans="1:21" x14ac:dyDescent="0.2">
      <c r="A196" s="203" t="s">
        <v>136</v>
      </c>
      <c r="B196" s="204" t="s">
        <v>775</v>
      </c>
      <c r="C196" s="204"/>
      <c r="D196" s="204"/>
      <c r="E196" s="214" t="s">
        <v>172</v>
      </c>
      <c r="F196" s="215">
        <v>0.33700000000000002</v>
      </c>
      <c r="G196" s="207">
        <f t="shared" si="34"/>
        <v>0.27802500000000002</v>
      </c>
      <c r="H196" s="208">
        <f t="shared" si="29"/>
        <v>93.51677007463357</v>
      </c>
      <c r="I196" s="209">
        <f>7.3*29</f>
        <v>211.7</v>
      </c>
      <c r="J196" s="270">
        <f>ROUND(P196,0)</f>
        <v>19</v>
      </c>
      <c r="K196" s="216">
        <v>8.9</v>
      </c>
      <c r="L196" s="218"/>
      <c r="M196" s="59"/>
      <c r="N196" s="244"/>
      <c r="O196" s="245">
        <v>0.29699999999999999</v>
      </c>
      <c r="P196" s="249">
        <f>IF(O196&lt;&gt;"",MROUND(O196*64,Param_DSC!$C$60),"")</f>
        <v>19</v>
      </c>
      <c r="Q196" s="249">
        <f t="shared" si="44"/>
        <v>7.5437999999999992</v>
      </c>
      <c r="R196" s="249">
        <f t="shared" si="35"/>
        <v>0</v>
      </c>
      <c r="S196" s="247"/>
      <c r="T196" s="280"/>
      <c r="U196" s="247"/>
    </row>
    <row r="197" spans="1:21" x14ac:dyDescent="0.2">
      <c r="A197" s="203" t="s">
        <v>136</v>
      </c>
      <c r="B197" s="204" t="s">
        <v>777</v>
      </c>
      <c r="C197" s="204"/>
      <c r="D197" s="204"/>
      <c r="E197" s="214" t="s">
        <v>173</v>
      </c>
      <c r="F197" s="215">
        <v>0.29799999999999999</v>
      </c>
      <c r="G197" s="207">
        <f t="shared" si="34"/>
        <v>0.24584999999999999</v>
      </c>
      <c r="H197" s="208">
        <f t="shared" si="29"/>
        <v>105.75554199715275</v>
      </c>
      <c r="I197" s="209">
        <f>8.2*29</f>
        <v>237.79999999999998</v>
      </c>
      <c r="J197" s="270">
        <f>ROUND(P197,0)</f>
        <v>20</v>
      </c>
      <c r="K197" s="216">
        <v>9.6999999999999993</v>
      </c>
      <c r="L197" s="218"/>
      <c r="M197" s="59"/>
      <c r="N197" s="244"/>
      <c r="O197" s="245">
        <v>0.30299999999999999</v>
      </c>
      <c r="P197" s="249">
        <f>IF(O197&lt;&gt;"",MROUND(O197*64,Param_DSC!$C$60),"")</f>
        <v>19.5</v>
      </c>
      <c r="Q197" s="249">
        <f t="shared" si="44"/>
        <v>7.6961999999999993</v>
      </c>
      <c r="R197" s="249">
        <f t="shared" si="35"/>
        <v>0</v>
      </c>
      <c r="S197" s="247"/>
      <c r="T197" s="280"/>
      <c r="U197" s="217"/>
    </row>
    <row r="198" spans="1:21" x14ac:dyDescent="0.2">
      <c r="A198" s="203" t="s">
        <v>136</v>
      </c>
      <c r="B198" s="204"/>
      <c r="C198" s="204"/>
      <c r="D198" s="204"/>
      <c r="E198" s="211" t="s">
        <v>161</v>
      </c>
      <c r="F198" s="206">
        <v>0.39700000000000002</v>
      </c>
      <c r="G198" s="207">
        <f t="shared" si="34"/>
        <v>0.32752500000000001</v>
      </c>
      <c r="H198" s="208">
        <f t="shared" ref="H198:H274" si="45">26/G198</f>
        <v>79.383253186779626</v>
      </c>
      <c r="I198" s="209">
        <f t="shared" ref="I198:I230" si="46">K198*29</f>
        <v>307.39999999999998</v>
      </c>
      <c r="J198" s="210">
        <v>20</v>
      </c>
      <c r="K198" s="210">
        <v>10.6</v>
      </c>
      <c r="L198" s="253"/>
      <c r="M198" s="59"/>
      <c r="N198" s="244"/>
      <c r="O198" s="245"/>
      <c r="P198" s="249" t="str">
        <f>IF(O198&lt;&gt;"",MROUND(O198*64,Param_DSC!$C$60),"")</f>
        <v/>
      </c>
      <c r="Q198" s="249" t="str">
        <f t="shared" si="44"/>
        <v/>
      </c>
      <c r="R198" s="249">
        <f t="shared" si="35"/>
        <v>0</v>
      </c>
      <c r="S198" s="247"/>
      <c r="T198" s="280"/>
      <c r="U198" s="247"/>
    </row>
    <row r="199" spans="1:21" x14ac:dyDescent="0.2">
      <c r="A199" s="203" t="s">
        <v>136</v>
      </c>
      <c r="B199" s="204"/>
      <c r="C199" s="204"/>
      <c r="D199" s="204"/>
      <c r="E199" s="211" t="s">
        <v>162</v>
      </c>
      <c r="F199" s="206">
        <v>0.34200000000000003</v>
      </c>
      <c r="G199" s="207">
        <f t="shared" si="34"/>
        <v>0.28215000000000001</v>
      </c>
      <c r="H199" s="208">
        <f t="shared" si="45"/>
        <v>92.14956583377635</v>
      </c>
      <c r="I199" s="209">
        <f t="shared" si="46"/>
        <v>327.70000000000005</v>
      </c>
      <c r="J199" s="210">
        <v>20</v>
      </c>
      <c r="K199" s="210">
        <v>11.3</v>
      </c>
      <c r="L199" s="253"/>
      <c r="M199" s="59"/>
      <c r="N199" s="244"/>
      <c r="O199" s="245"/>
      <c r="P199" s="249" t="str">
        <f>IF(O199&lt;&gt;"",MROUND(O199*64,Param_DSC!$C$60),"")</f>
        <v/>
      </c>
      <c r="Q199" s="249" t="str">
        <f t="shared" si="44"/>
        <v/>
      </c>
      <c r="R199" s="249">
        <f t="shared" si="35"/>
        <v>0</v>
      </c>
      <c r="S199" s="247"/>
      <c r="T199" s="280"/>
      <c r="U199" s="247"/>
    </row>
    <row r="200" spans="1:21" x14ac:dyDescent="0.2">
      <c r="A200" s="203" t="s">
        <v>136</v>
      </c>
      <c r="B200" s="204"/>
      <c r="C200" s="204"/>
      <c r="D200" s="204"/>
      <c r="E200" s="211" t="s">
        <v>163</v>
      </c>
      <c r="F200" s="206">
        <v>0.29699999999999999</v>
      </c>
      <c r="G200" s="207">
        <f t="shared" si="34"/>
        <v>0.24502499999999997</v>
      </c>
      <c r="H200" s="208">
        <f t="shared" si="45"/>
        <v>106.11162126313643</v>
      </c>
      <c r="I200" s="209">
        <f t="shared" si="46"/>
        <v>397.29999999999995</v>
      </c>
      <c r="J200" s="210">
        <v>20</v>
      </c>
      <c r="K200" s="210">
        <v>13.7</v>
      </c>
      <c r="L200" s="253"/>
      <c r="M200" s="59"/>
      <c r="N200" s="244"/>
      <c r="O200" s="245"/>
      <c r="P200" s="249" t="str">
        <f>IF(O200&lt;&gt;"",MROUND(O200*64,Param_DSC!$C$60),"")</f>
        <v/>
      </c>
      <c r="Q200" s="249" t="str">
        <f t="shared" si="44"/>
        <v/>
      </c>
      <c r="R200" s="249">
        <f t="shared" si="35"/>
        <v>0</v>
      </c>
      <c r="S200" s="247"/>
      <c r="T200" s="280"/>
      <c r="U200" s="247"/>
    </row>
    <row r="201" spans="1:21" x14ac:dyDescent="0.2">
      <c r="A201" s="203" t="s">
        <v>823</v>
      </c>
      <c r="B201" s="204"/>
      <c r="C201" s="204" t="s">
        <v>18</v>
      </c>
      <c r="D201" s="204"/>
      <c r="E201" s="211" t="s">
        <v>825</v>
      </c>
      <c r="F201" s="206">
        <v>0.65</v>
      </c>
      <c r="G201" s="207">
        <f t="shared" ref="G201:G227" si="47">F201*0.825</f>
        <v>0.53625</v>
      </c>
      <c r="H201" s="208">
        <f t="shared" ref="H201:H227" si="48">26/G201</f>
        <v>48.484848484848484</v>
      </c>
      <c r="I201" s="209">
        <f t="shared" ref="I201:I227" si="49">K201*29</f>
        <v>153.69999999999999</v>
      </c>
      <c r="J201" s="270">
        <f t="shared" ref="J201:J227" si="50">ROUND(P201,0)</f>
        <v>18</v>
      </c>
      <c r="K201" s="210">
        <v>5.3</v>
      </c>
      <c r="L201" s="271">
        <v>32</v>
      </c>
      <c r="M201" s="59"/>
      <c r="N201" s="248">
        <v>0.24299999999999999</v>
      </c>
      <c r="O201" s="248">
        <v>0.27400000000000002</v>
      </c>
      <c r="P201" s="249">
        <f>IF(O201&lt;&gt;"",MROUND(O201*64,Param_DSC!$C$60),"")</f>
        <v>17.5</v>
      </c>
      <c r="Q201" s="249">
        <f t="shared" ref="Q201:Q227" si="51">IF(O201&lt;&gt;"",O201*25.4,"")</f>
        <v>6.9596</v>
      </c>
      <c r="R201" s="249">
        <f t="shared" ref="R201:R227" si="52">L201*25.4</f>
        <v>812.8</v>
      </c>
      <c r="S201" s="247"/>
      <c r="T201" s="280"/>
      <c r="U201" s="252"/>
    </row>
    <row r="202" spans="1:21" x14ac:dyDescent="0.2">
      <c r="A202" s="203" t="s">
        <v>823</v>
      </c>
      <c r="B202" s="204"/>
      <c r="C202" s="204" t="s">
        <v>18</v>
      </c>
      <c r="D202" s="204"/>
      <c r="E202" s="211" t="s">
        <v>830</v>
      </c>
      <c r="F202" s="206">
        <v>0.33</v>
      </c>
      <c r="G202" s="207">
        <f t="shared" si="47"/>
        <v>0.27224999999999999</v>
      </c>
      <c r="H202" s="208">
        <f t="shared" si="48"/>
        <v>95.500459136822769</v>
      </c>
      <c r="I202" s="209">
        <f t="shared" si="49"/>
        <v>229.10000000000002</v>
      </c>
      <c r="J202" s="270">
        <f t="shared" si="50"/>
        <v>19</v>
      </c>
      <c r="K202" s="210">
        <v>7.9</v>
      </c>
      <c r="L202" s="271">
        <v>32</v>
      </c>
      <c r="M202" s="59"/>
      <c r="N202" s="248">
        <v>0.24299999999999999</v>
      </c>
      <c r="O202" s="248">
        <v>0.29399999999999998</v>
      </c>
      <c r="P202" s="249">
        <f>IF(O202&lt;&gt;"",MROUND(O202*64,Param_DSC!$C$60),"")</f>
        <v>19</v>
      </c>
      <c r="Q202" s="249">
        <f t="shared" si="51"/>
        <v>7.4675999999999991</v>
      </c>
      <c r="R202" s="249">
        <f t="shared" si="52"/>
        <v>812.8</v>
      </c>
      <c r="S202" s="247"/>
      <c r="T202" s="280"/>
      <c r="U202" s="252"/>
    </row>
    <row r="203" spans="1:21" x14ac:dyDescent="0.2">
      <c r="A203" s="203" t="s">
        <v>823</v>
      </c>
      <c r="B203" s="204"/>
      <c r="C203" s="204" t="s">
        <v>18</v>
      </c>
      <c r="D203" s="204"/>
      <c r="E203" s="211" t="s">
        <v>827</v>
      </c>
      <c r="F203" s="206">
        <v>0.52500000000000002</v>
      </c>
      <c r="G203" s="207">
        <f t="shared" si="47"/>
        <v>0.43312499999999998</v>
      </c>
      <c r="H203" s="208">
        <f t="shared" si="48"/>
        <v>60.028860028860031</v>
      </c>
      <c r="I203" s="209">
        <f t="shared" si="49"/>
        <v>176.89999999999998</v>
      </c>
      <c r="J203" s="270">
        <f t="shared" si="50"/>
        <v>18</v>
      </c>
      <c r="K203" s="210">
        <v>6.1</v>
      </c>
      <c r="L203" s="271">
        <v>32</v>
      </c>
      <c r="M203" s="59"/>
      <c r="N203" s="248">
        <v>0.24299999999999999</v>
      </c>
      <c r="O203" s="248">
        <v>0.28199999999999997</v>
      </c>
      <c r="P203" s="249">
        <f>IF(O203&lt;&gt;"",MROUND(O203*64,Param_DSC!$C$60),"")</f>
        <v>18</v>
      </c>
      <c r="Q203" s="249">
        <f t="shared" si="51"/>
        <v>7.1627999999999989</v>
      </c>
      <c r="R203" s="249">
        <f t="shared" si="52"/>
        <v>812.8</v>
      </c>
      <c r="S203" s="247"/>
      <c r="T203" s="280"/>
      <c r="U203" s="252"/>
    </row>
    <row r="204" spans="1:21" x14ac:dyDescent="0.2">
      <c r="A204" s="203" t="s">
        <v>823</v>
      </c>
      <c r="B204" s="204"/>
      <c r="C204" s="204" t="s">
        <v>18</v>
      </c>
      <c r="D204" s="204"/>
      <c r="E204" s="211" t="s">
        <v>828</v>
      </c>
      <c r="F204" s="206">
        <v>0.4</v>
      </c>
      <c r="G204" s="207">
        <f t="shared" si="47"/>
        <v>0.33</v>
      </c>
      <c r="H204" s="208">
        <f t="shared" si="48"/>
        <v>78.787878787878782</v>
      </c>
      <c r="I204" s="209">
        <f t="shared" si="49"/>
        <v>185.60000000000002</v>
      </c>
      <c r="J204" s="270">
        <f t="shared" si="50"/>
        <v>18</v>
      </c>
      <c r="K204" s="210">
        <v>6.4</v>
      </c>
      <c r="L204" s="271">
        <v>32</v>
      </c>
      <c r="M204" s="59"/>
      <c r="N204" s="248">
        <v>0.24299999999999999</v>
      </c>
      <c r="O204" s="248">
        <v>0.28399999999999997</v>
      </c>
      <c r="P204" s="249">
        <f>IF(O204&lt;&gt;"",MROUND(O204*64,Param_DSC!$C$60),"")</f>
        <v>18</v>
      </c>
      <c r="Q204" s="249">
        <f t="shared" si="51"/>
        <v>7.2135999999999987</v>
      </c>
      <c r="R204" s="249">
        <f t="shared" si="52"/>
        <v>812.8</v>
      </c>
      <c r="S204" s="247"/>
      <c r="T204" s="280"/>
      <c r="U204" s="252"/>
    </row>
    <row r="205" spans="1:21" x14ac:dyDescent="0.2">
      <c r="A205" s="203" t="s">
        <v>823</v>
      </c>
      <c r="B205" s="204"/>
      <c r="C205" s="204" t="s">
        <v>18</v>
      </c>
      <c r="D205" s="204"/>
      <c r="E205" s="211" t="s">
        <v>829</v>
      </c>
      <c r="F205" s="206">
        <v>0.4</v>
      </c>
      <c r="G205" s="207">
        <f t="shared" si="47"/>
        <v>0.33</v>
      </c>
      <c r="H205" s="208">
        <f t="shared" si="48"/>
        <v>78.787878787878782</v>
      </c>
      <c r="I205" s="209">
        <f t="shared" si="49"/>
        <v>185.60000000000002</v>
      </c>
      <c r="J205" s="270">
        <f t="shared" si="50"/>
        <v>18</v>
      </c>
      <c r="K205" s="210">
        <v>6.4</v>
      </c>
      <c r="L205" s="271">
        <v>32</v>
      </c>
      <c r="M205" s="59"/>
      <c r="N205" s="248">
        <v>0.24299999999999999</v>
      </c>
      <c r="O205" s="248">
        <v>0.28399999999999997</v>
      </c>
      <c r="P205" s="249">
        <f>IF(O205&lt;&gt;"",MROUND(O205*64,Param_DSC!$C$60),"")</f>
        <v>18</v>
      </c>
      <c r="Q205" s="249">
        <f t="shared" si="51"/>
        <v>7.2135999999999987</v>
      </c>
      <c r="R205" s="249">
        <f t="shared" si="52"/>
        <v>812.8</v>
      </c>
      <c r="S205" s="247"/>
      <c r="T205" s="280"/>
      <c r="U205" s="252"/>
    </row>
    <row r="206" spans="1:21" x14ac:dyDescent="0.2">
      <c r="A206" s="203" t="s">
        <v>823</v>
      </c>
      <c r="B206" s="204"/>
      <c r="C206" s="204" t="s">
        <v>18</v>
      </c>
      <c r="D206" s="204"/>
      <c r="E206" s="211" t="s">
        <v>826</v>
      </c>
      <c r="F206" s="206">
        <v>0.52500000000000002</v>
      </c>
      <c r="G206" s="207">
        <f t="shared" si="47"/>
        <v>0.43312499999999998</v>
      </c>
      <c r="H206" s="208">
        <f t="shared" si="48"/>
        <v>60.028860028860031</v>
      </c>
      <c r="I206" s="209">
        <f t="shared" si="49"/>
        <v>176.89999999999998</v>
      </c>
      <c r="J206" s="270">
        <f t="shared" si="50"/>
        <v>18</v>
      </c>
      <c r="K206" s="210">
        <v>6.1</v>
      </c>
      <c r="L206" s="271">
        <v>32</v>
      </c>
      <c r="M206" s="59"/>
      <c r="N206" s="248">
        <v>0.24299999999999999</v>
      </c>
      <c r="O206" s="248">
        <v>0.28199999999999997</v>
      </c>
      <c r="P206" s="249">
        <f>IF(O206&lt;&gt;"",MROUND(O206*64,Param_DSC!$C$60),"")</f>
        <v>18</v>
      </c>
      <c r="Q206" s="249">
        <f t="shared" si="51"/>
        <v>7.1627999999999989</v>
      </c>
      <c r="R206" s="249">
        <f t="shared" si="52"/>
        <v>812.8</v>
      </c>
      <c r="S206" s="247"/>
      <c r="T206" s="280"/>
      <c r="U206" s="252"/>
    </row>
    <row r="207" spans="1:21" x14ac:dyDescent="0.2">
      <c r="A207" s="203" t="s">
        <v>823</v>
      </c>
      <c r="B207" s="204"/>
      <c r="C207" s="204" t="s">
        <v>18</v>
      </c>
      <c r="D207" s="204"/>
      <c r="E207" s="211" t="s">
        <v>831</v>
      </c>
      <c r="F207" s="206">
        <v>0.33</v>
      </c>
      <c r="G207" s="207">
        <f t="shared" si="47"/>
        <v>0.27224999999999999</v>
      </c>
      <c r="H207" s="208">
        <f t="shared" si="48"/>
        <v>95.500459136822769</v>
      </c>
      <c r="I207" s="209">
        <f t="shared" si="49"/>
        <v>229.10000000000002</v>
      </c>
      <c r="J207" s="270">
        <f t="shared" si="50"/>
        <v>19</v>
      </c>
      <c r="K207" s="210">
        <v>7.9</v>
      </c>
      <c r="L207" s="271">
        <v>32</v>
      </c>
      <c r="M207" s="59"/>
      <c r="N207" s="248">
        <v>0.24299999999999999</v>
      </c>
      <c r="O207" s="248">
        <v>0.29399999999999998</v>
      </c>
      <c r="P207" s="249">
        <f>IF(O207&lt;&gt;"",MROUND(O207*64,Param_DSC!$C$60),"")</f>
        <v>19</v>
      </c>
      <c r="Q207" s="249">
        <f t="shared" si="51"/>
        <v>7.4675999999999991</v>
      </c>
      <c r="R207" s="249">
        <f t="shared" si="52"/>
        <v>812.8</v>
      </c>
      <c r="S207" s="247"/>
      <c r="T207" s="280"/>
      <c r="U207" s="252"/>
    </row>
    <row r="208" spans="1:21" x14ac:dyDescent="0.2">
      <c r="A208" s="203" t="s">
        <v>823</v>
      </c>
      <c r="B208" s="204"/>
      <c r="C208" s="204" t="s">
        <v>18</v>
      </c>
      <c r="D208" s="204"/>
      <c r="E208" s="211" t="s">
        <v>824</v>
      </c>
      <c r="F208" s="206">
        <v>0.65</v>
      </c>
      <c r="G208" s="207">
        <f t="shared" si="47"/>
        <v>0.53625</v>
      </c>
      <c r="H208" s="208">
        <f t="shared" si="48"/>
        <v>48.484848484848484</v>
      </c>
      <c r="I208" s="209">
        <f t="shared" si="49"/>
        <v>153.69999999999999</v>
      </c>
      <c r="J208" s="270">
        <f t="shared" si="50"/>
        <v>18</v>
      </c>
      <c r="K208" s="210">
        <v>5.3</v>
      </c>
      <c r="L208" s="271">
        <v>32</v>
      </c>
      <c r="M208" s="59"/>
      <c r="N208" s="248">
        <v>0.24299999999999999</v>
      </c>
      <c r="O208" s="248">
        <v>0.27400000000000002</v>
      </c>
      <c r="P208" s="249">
        <f>IF(O208&lt;&gt;"",MROUND(O208*64,Param_DSC!$C$60),"")</f>
        <v>17.5</v>
      </c>
      <c r="Q208" s="249">
        <f t="shared" si="51"/>
        <v>6.9596</v>
      </c>
      <c r="R208" s="249">
        <f t="shared" si="52"/>
        <v>812.8</v>
      </c>
      <c r="S208" s="247"/>
      <c r="T208" s="280"/>
      <c r="U208" s="252"/>
    </row>
    <row r="209" spans="1:21" x14ac:dyDescent="0.2">
      <c r="A209" s="203" t="s">
        <v>823</v>
      </c>
      <c r="B209" s="204"/>
      <c r="C209" s="204" t="s">
        <v>18</v>
      </c>
      <c r="D209" s="204"/>
      <c r="E209" s="211" t="s">
        <v>846</v>
      </c>
      <c r="F209" s="206">
        <v>0.4</v>
      </c>
      <c r="G209" s="207">
        <f t="shared" si="47"/>
        <v>0.33</v>
      </c>
      <c r="H209" s="208">
        <f t="shared" si="48"/>
        <v>78.787878787878782</v>
      </c>
      <c r="I209" s="209">
        <f t="shared" si="49"/>
        <v>214.60000000000002</v>
      </c>
      <c r="J209" s="270">
        <f t="shared" si="50"/>
        <v>19</v>
      </c>
      <c r="K209" s="210">
        <v>7.4</v>
      </c>
      <c r="L209" s="271">
        <v>32</v>
      </c>
      <c r="M209" s="59"/>
      <c r="N209" s="248">
        <v>0.24299999999999999</v>
      </c>
      <c r="O209" s="244">
        <v>0.28699999999999998</v>
      </c>
      <c r="P209" s="249">
        <f>IF(O209&lt;&gt;"",MROUND(O209*64,Param_DSC!$C$60),"")</f>
        <v>18.5</v>
      </c>
      <c r="Q209" s="249">
        <f t="shared" si="51"/>
        <v>7.2897999999999987</v>
      </c>
      <c r="R209" s="249">
        <f t="shared" si="52"/>
        <v>812.8</v>
      </c>
      <c r="S209" s="247"/>
      <c r="T209" s="280"/>
      <c r="U209" s="252"/>
    </row>
    <row r="210" spans="1:21" x14ac:dyDescent="0.2">
      <c r="A210" s="203" t="s">
        <v>823</v>
      </c>
      <c r="B210" s="204"/>
      <c r="C210" s="204" t="s">
        <v>18</v>
      </c>
      <c r="D210" s="204"/>
      <c r="E210" s="211" t="s">
        <v>847</v>
      </c>
      <c r="F210" s="206">
        <v>0.3</v>
      </c>
      <c r="G210" s="207">
        <f t="shared" si="47"/>
        <v>0.24749999999999997</v>
      </c>
      <c r="H210" s="208">
        <f t="shared" si="48"/>
        <v>105.05050505050507</v>
      </c>
      <c r="I210" s="209">
        <f t="shared" si="49"/>
        <v>243.60000000000002</v>
      </c>
      <c r="J210" s="270">
        <f t="shared" si="50"/>
        <v>19</v>
      </c>
      <c r="K210" s="210">
        <v>8.4</v>
      </c>
      <c r="L210" s="271">
        <v>32</v>
      </c>
      <c r="M210" s="59"/>
      <c r="N210" s="248">
        <v>0.24299999999999999</v>
      </c>
      <c r="O210" s="244">
        <v>0.29099999999999998</v>
      </c>
      <c r="P210" s="249">
        <f>IF(O210&lt;&gt;"",MROUND(O210*64,Param_DSC!$C$60),"")</f>
        <v>18.5</v>
      </c>
      <c r="Q210" s="249">
        <f t="shared" si="51"/>
        <v>7.3913999999999991</v>
      </c>
      <c r="R210" s="249">
        <f t="shared" si="52"/>
        <v>812.8</v>
      </c>
      <c r="S210" s="247"/>
      <c r="T210" s="280"/>
      <c r="U210" s="252"/>
    </row>
    <row r="211" spans="1:21" x14ac:dyDescent="0.2">
      <c r="A211" s="203" t="s">
        <v>823</v>
      </c>
      <c r="B211" s="204"/>
      <c r="C211" s="204" t="s">
        <v>18</v>
      </c>
      <c r="D211" s="204"/>
      <c r="E211" s="211" t="s">
        <v>849</v>
      </c>
      <c r="F211" s="206">
        <v>0.4</v>
      </c>
      <c r="G211" s="207">
        <f t="shared" si="47"/>
        <v>0.33</v>
      </c>
      <c r="H211" s="208">
        <f t="shared" si="48"/>
        <v>78.787878787878782</v>
      </c>
      <c r="I211" s="209">
        <f t="shared" si="49"/>
        <v>226.2</v>
      </c>
      <c r="J211" s="270">
        <f t="shared" si="50"/>
        <v>22</v>
      </c>
      <c r="K211" s="210">
        <v>7.8</v>
      </c>
      <c r="L211" s="271">
        <v>32</v>
      </c>
      <c r="M211" s="59"/>
      <c r="N211" s="248">
        <v>0.30499999999999999</v>
      </c>
      <c r="O211" s="244">
        <v>0.34699999999999998</v>
      </c>
      <c r="P211" s="249">
        <f>IF(O211&lt;&gt;"",MROUND(O211*64,Param_DSC!$C$60),"")</f>
        <v>22</v>
      </c>
      <c r="Q211" s="249">
        <f t="shared" si="51"/>
        <v>8.8137999999999987</v>
      </c>
      <c r="R211" s="249">
        <f t="shared" si="52"/>
        <v>812.8</v>
      </c>
      <c r="S211" s="247"/>
      <c r="T211" s="280"/>
      <c r="U211" s="252"/>
    </row>
    <row r="212" spans="1:21" x14ac:dyDescent="0.2">
      <c r="A212" s="203" t="s">
        <v>823</v>
      </c>
      <c r="B212" s="204"/>
      <c r="C212" s="204" t="s">
        <v>18</v>
      </c>
      <c r="D212" s="204"/>
      <c r="E212" s="211" t="s">
        <v>848</v>
      </c>
      <c r="F212" s="206">
        <v>0.4</v>
      </c>
      <c r="G212" s="207">
        <f t="shared" si="47"/>
        <v>0.33</v>
      </c>
      <c r="H212" s="208">
        <f t="shared" si="48"/>
        <v>78.787878787878782</v>
      </c>
      <c r="I212" s="209">
        <f t="shared" si="49"/>
        <v>226.2</v>
      </c>
      <c r="J212" s="270">
        <f t="shared" si="50"/>
        <v>22</v>
      </c>
      <c r="K212" s="210">
        <v>7.8</v>
      </c>
      <c r="L212" s="271">
        <v>32</v>
      </c>
      <c r="M212" s="59"/>
      <c r="N212" s="248">
        <v>0.30499999999999999</v>
      </c>
      <c r="O212" s="244">
        <v>0.34699999999999998</v>
      </c>
      <c r="P212" s="249">
        <f>IF(O212&lt;&gt;"",MROUND(O212*64,Param_DSC!$C$60),"")</f>
        <v>22</v>
      </c>
      <c r="Q212" s="249">
        <f t="shared" si="51"/>
        <v>8.8137999999999987</v>
      </c>
      <c r="R212" s="249">
        <f t="shared" si="52"/>
        <v>812.8</v>
      </c>
      <c r="S212" s="247"/>
      <c r="T212" s="280"/>
      <c r="U212" s="252"/>
    </row>
    <row r="213" spans="1:21" x14ac:dyDescent="0.2">
      <c r="A213" s="203" t="s">
        <v>823</v>
      </c>
      <c r="B213" s="204"/>
      <c r="C213" s="204" t="s">
        <v>18</v>
      </c>
      <c r="D213" s="204"/>
      <c r="E213" s="211" t="s">
        <v>850</v>
      </c>
      <c r="F213" s="206">
        <v>0.4</v>
      </c>
      <c r="G213" s="207">
        <f t="shared" si="47"/>
        <v>0.33</v>
      </c>
      <c r="H213" s="208">
        <f t="shared" si="48"/>
        <v>78.787878787878782</v>
      </c>
      <c r="I213" s="209">
        <f t="shared" si="49"/>
        <v>232</v>
      </c>
      <c r="J213" s="270">
        <f t="shared" si="50"/>
        <v>27</v>
      </c>
      <c r="K213" s="210">
        <v>8</v>
      </c>
      <c r="L213" s="271">
        <v>31</v>
      </c>
      <c r="M213" s="59"/>
      <c r="N213" s="248">
        <v>0.38700000000000001</v>
      </c>
      <c r="O213" s="244">
        <v>0.42099999999999999</v>
      </c>
      <c r="P213" s="249">
        <f>IF(O213&lt;&gt;"",MROUND(O213*64,Param_DSC!$C$60),"")</f>
        <v>27</v>
      </c>
      <c r="Q213" s="249">
        <f t="shared" si="51"/>
        <v>10.693399999999999</v>
      </c>
      <c r="R213" s="249">
        <f t="shared" si="52"/>
        <v>787.4</v>
      </c>
      <c r="S213" s="247"/>
      <c r="T213" s="280"/>
      <c r="U213" s="252"/>
    </row>
    <row r="214" spans="1:21" x14ac:dyDescent="0.2">
      <c r="A214" s="203" t="s">
        <v>823</v>
      </c>
      <c r="B214" s="204"/>
      <c r="C214" s="204" t="s">
        <v>18</v>
      </c>
      <c r="D214" s="204"/>
      <c r="E214" s="211" t="s">
        <v>841</v>
      </c>
      <c r="F214" s="206">
        <v>0.5</v>
      </c>
      <c r="G214" s="207">
        <f t="shared" si="47"/>
        <v>0.41249999999999998</v>
      </c>
      <c r="H214" s="208">
        <f t="shared" si="48"/>
        <v>63.030303030303031</v>
      </c>
      <c r="I214" s="209">
        <f t="shared" si="49"/>
        <v>275.5</v>
      </c>
      <c r="J214" s="270">
        <f t="shared" si="50"/>
        <v>19</v>
      </c>
      <c r="K214" s="210">
        <v>9.5</v>
      </c>
      <c r="L214" s="271">
        <v>32</v>
      </c>
      <c r="M214" s="59"/>
      <c r="N214" s="248">
        <v>0.24299999999999999</v>
      </c>
      <c r="O214" s="248">
        <v>0.3</v>
      </c>
      <c r="P214" s="249">
        <f>IF(O214&lt;&gt;"",MROUND(O214*64,Param_DSC!$C$60),"")</f>
        <v>19</v>
      </c>
      <c r="Q214" s="249">
        <f t="shared" si="51"/>
        <v>7.6199999999999992</v>
      </c>
      <c r="R214" s="249">
        <f t="shared" si="52"/>
        <v>812.8</v>
      </c>
      <c r="S214" s="247"/>
      <c r="T214" s="280"/>
      <c r="U214" s="252"/>
    </row>
    <row r="215" spans="1:21" x14ac:dyDescent="0.2">
      <c r="A215" s="203" t="s">
        <v>823</v>
      </c>
      <c r="B215" s="204"/>
      <c r="C215" s="204" t="s">
        <v>18</v>
      </c>
      <c r="D215" s="204"/>
      <c r="E215" s="211" t="s">
        <v>840</v>
      </c>
      <c r="F215" s="206">
        <v>0.5</v>
      </c>
      <c r="G215" s="207">
        <f t="shared" si="47"/>
        <v>0.41249999999999998</v>
      </c>
      <c r="H215" s="208">
        <f t="shared" si="48"/>
        <v>63.030303030303031</v>
      </c>
      <c r="I215" s="209">
        <f t="shared" si="49"/>
        <v>275.5</v>
      </c>
      <c r="J215" s="270">
        <f t="shared" si="50"/>
        <v>19</v>
      </c>
      <c r="K215" s="210">
        <v>9.5</v>
      </c>
      <c r="L215" s="271">
        <v>32</v>
      </c>
      <c r="M215" s="59"/>
      <c r="N215" s="248">
        <v>0.24299999999999999</v>
      </c>
      <c r="O215" s="248">
        <v>0.3</v>
      </c>
      <c r="P215" s="249">
        <f>IF(O215&lt;&gt;"",MROUND(O215*64,Param_DSC!$C$60),"")</f>
        <v>19</v>
      </c>
      <c r="Q215" s="249">
        <f t="shared" si="51"/>
        <v>7.6199999999999992</v>
      </c>
      <c r="R215" s="249">
        <f t="shared" si="52"/>
        <v>812.8</v>
      </c>
      <c r="S215" s="247"/>
      <c r="T215" s="280"/>
      <c r="U215" s="252"/>
    </row>
    <row r="216" spans="1:21" x14ac:dyDescent="0.2">
      <c r="A216" s="203" t="s">
        <v>823</v>
      </c>
      <c r="B216" s="204"/>
      <c r="C216" s="204" t="s">
        <v>18</v>
      </c>
      <c r="D216" s="204"/>
      <c r="E216" s="211" t="s">
        <v>843</v>
      </c>
      <c r="F216" s="206">
        <v>0.4</v>
      </c>
      <c r="G216" s="207">
        <f t="shared" si="47"/>
        <v>0.33</v>
      </c>
      <c r="H216" s="208">
        <f t="shared" si="48"/>
        <v>78.787878787878782</v>
      </c>
      <c r="I216" s="209">
        <f t="shared" si="49"/>
        <v>290</v>
      </c>
      <c r="J216" s="270">
        <f t="shared" si="50"/>
        <v>20</v>
      </c>
      <c r="K216" s="210">
        <v>10</v>
      </c>
      <c r="L216" s="271">
        <v>32</v>
      </c>
      <c r="M216" s="59"/>
      <c r="N216" s="248">
        <v>0.24299999999999999</v>
      </c>
      <c r="O216" s="248">
        <v>0.30499999999999999</v>
      </c>
      <c r="P216" s="249">
        <f>IF(O216&lt;&gt;"",MROUND(O216*64,Param_DSC!$C$60),"")</f>
        <v>19.5</v>
      </c>
      <c r="Q216" s="249">
        <f t="shared" si="51"/>
        <v>7.746999999999999</v>
      </c>
      <c r="R216" s="249">
        <f t="shared" si="52"/>
        <v>812.8</v>
      </c>
      <c r="S216" s="247"/>
      <c r="T216" s="280"/>
      <c r="U216" s="252"/>
    </row>
    <row r="217" spans="1:21" x14ac:dyDescent="0.2">
      <c r="A217" s="203" t="s">
        <v>823</v>
      </c>
      <c r="B217" s="204"/>
      <c r="C217" s="204" t="s">
        <v>18</v>
      </c>
      <c r="D217" s="204"/>
      <c r="E217" s="211" t="s">
        <v>842</v>
      </c>
      <c r="F217" s="206">
        <v>0.4</v>
      </c>
      <c r="G217" s="207">
        <f t="shared" si="47"/>
        <v>0.33</v>
      </c>
      <c r="H217" s="208">
        <f t="shared" si="48"/>
        <v>78.787878787878782</v>
      </c>
      <c r="I217" s="209">
        <f t="shared" si="49"/>
        <v>290</v>
      </c>
      <c r="J217" s="270">
        <f t="shared" si="50"/>
        <v>20</v>
      </c>
      <c r="K217" s="210">
        <v>10</v>
      </c>
      <c r="L217" s="271">
        <v>32</v>
      </c>
      <c r="M217" s="59"/>
      <c r="N217" s="248">
        <v>0.24299999999999999</v>
      </c>
      <c r="O217" s="248">
        <v>0.30499999999999999</v>
      </c>
      <c r="P217" s="249">
        <f>IF(O217&lt;&gt;"",MROUND(O217*64,Param_DSC!$C$60),"")</f>
        <v>19.5</v>
      </c>
      <c r="Q217" s="249">
        <f t="shared" si="51"/>
        <v>7.746999999999999</v>
      </c>
      <c r="R217" s="249">
        <f t="shared" si="52"/>
        <v>812.8</v>
      </c>
      <c r="S217" s="247"/>
      <c r="T217" s="280"/>
      <c r="U217" s="252"/>
    </row>
    <row r="218" spans="1:21" x14ac:dyDescent="0.2">
      <c r="A218" s="203" t="s">
        <v>823</v>
      </c>
      <c r="B218" s="204"/>
      <c r="C218" s="204" t="s">
        <v>18</v>
      </c>
      <c r="D218" s="204"/>
      <c r="E218" s="211" t="s">
        <v>845</v>
      </c>
      <c r="F218" s="206">
        <v>0.3</v>
      </c>
      <c r="G218" s="207">
        <f t="shared" si="47"/>
        <v>0.24749999999999997</v>
      </c>
      <c r="H218" s="208">
        <f t="shared" si="48"/>
        <v>105.05050505050507</v>
      </c>
      <c r="I218" s="209">
        <f t="shared" si="49"/>
        <v>362.5</v>
      </c>
      <c r="J218" s="270">
        <f t="shared" si="50"/>
        <v>20</v>
      </c>
      <c r="K218" s="210">
        <v>12.5</v>
      </c>
      <c r="L218" s="271">
        <v>32</v>
      </c>
      <c r="M218" s="59"/>
      <c r="N218" s="248">
        <v>0.24299999999999999</v>
      </c>
      <c r="O218" s="248">
        <v>0.31</v>
      </c>
      <c r="P218" s="249">
        <f>IF(O218&lt;&gt;"",MROUND(O218*64,Param_DSC!$C$60),"")</f>
        <v>20</v>
      </c>
      <c r="Q218" s="249">
        <f t="shared" si="51"/>
        <v>7.8739999999999997</v>
      </c>
      <c r="R218" s="249">
        <f t="shared" si="52"/>
        <v>812.8</v>
      </c>
      <c r="S218" s="247"/>
      <c r="T218" s="280"/>
      <c r="U218" s="252"/>
    </row>
    <row r="219" spans="1:21" x14ac:dyDescent="0.2">
      <c r="A219" s="203" t="s">
        <v>823</v>
      </c>
      <c r="B219" s="204"/>
      <c r="C219" s="204" t="s">
        <v>18</v>
      </c>
      <c r="D219" s="204"/>
      <c r="E219" s="211" t="s">
        <v>844</v>
      </c>
      <c r="F219" s="206">
        <v>0.3</v>
      </c>
      <c r="G219" s="207">
        <f t="shared" si="47"/>
        <v>0.24749999999999997</v>
      </c>
      <c r="H219" s="208">
        <f t="shared" si="48"/>
        <v>105.05050505050507</v>
      </c>
      <c r="I219" s="209">
        <f t="shared" si="49"/>
        <v>362.5</v>
      </c>
      <c r="J219" s="270">
        <f t="shared" si="50"/>
        <v>20</v>
      </c>
      <c r="K219" s="210">
        <v>12.5</v>
      </c>
      <c r="L219" s="271">
        <v>32</v>
      </c>
      <c r="M219" s="59"/>
      <c r="N219" s="248">
        <v>0.24299999999999999</v>
      </c>
      <c r="O219" s="248">
        <v>0.31</v>
      </c>
      <c r="P219" s="249">
        <f>IF(O219&lt;&gt;"",MROUND(O219*64,Param_DSC!$C$60),"")</f>
        <v>20</v>
      </c>
      <c r="Q219" s="249">
        <f t="shared" si="51"/>
        <v>7.8739999999999997</v>
      </c>
      <c r="R219" s="249">
        <f t="shared" si="52"/>
        <v>812.8</v>
      </c>
      <c r="S219" s="247"/>
      <c r="T219" s="280"/>
      <c r="U219" s="252"/>
    </row>
    <row r="220" spans="1:21" x14ac:dyDescent="0.2">
      <c r="A220" s="203" t="s">
        <v>823</v>
      </c>
      <c r="B220" s="204"/>
      <c r="C220" s="204" t="s">
        <v>18</v>
      </c>
      <c r="D220" s="204"/>
      <c r="E220" s="211" t="s">
        <v>833</v>
      </c>
      <c r="F220" s="206">
        <v>0.65</v>
      </c>
      <c r="G220" s="207">
        <f t="shared" si="47"/>
        <v>0.53625</v>
      </c>
      <c r="H220" s="208">
        <f t="shared" si="48"/>
        <v>48.484848484848484</v>
      </c>
      <c r="I220" s="209">
        <f t="shared" si="49"/>
        <v>171.10000000000002</v>
      </c>
      <c r="J220" s="270">
        <f t="shared" si="50"/>
        <v>18</v>
      </c>
      <c r="K220" s="210">
        <v>5.9</v>
      </c>
      <c r="L220" s="271">
        <v>32</v>
      </c>
      <c r="M220" s="59"/>
      <c r="N220" s="248">
        <v>0.24299999999999999</v>
      </c>
      <c r="O220" s="248">
        <v>0.28000000000000003</v>
      </c>
      <c r="P220" s="249">
        <f>IF(O220&lt;&gt;"",MROUND(O220*64,Param_DSC!$C$60),"")</f>
        <v>18</v>
      </c>
      <c r="Q220" s="249">
        <f t="shared" si="51"/>
        <v>7.1120000000000001</v>
      </c>
      <c r="R220" s="249">
        <f t="shared" si="52"/>
        <v>812.8</v>
      </c>
      <c r="S220" s="247"/>
      <c r="T220" s="280"/>
      <c r="U220" s="252"/>
    </row>
    <row r="221" spans="1:21" x14ac:dyDescent="0.2">
      <c r="A221" s="203" t="s">
        <v>823</v>
      </c>
      <c r="B221" s="204"/>
      <c r="C221" s="204" t="s">
        <v>18</v>
      </c>
      <c r="D221" s="204"/>
      <c r="E221" s="211" t="s">
        <v>832</v>
      </c>
      <c r="F221" s="206">
        <v>0.65</v>
      </c>
      <c r="G221" s="207">
        <f t="shared" si="47"/>
        <v>0.53625</v>
      </c>
      <c r="H221" s="208">
        <f t="shared" si="48"/>
        <v>48.484848484848484</v>
      </c>
      <c r="I221" s="209">
        <f t="shared" si="49"/>
        <v>171.10000000000002</v>
      </c>
      <c r="J221" s="270">
        <f t="shared" si="50"/>
        <v>18</v>
      </c>
      <c r="K221" s="210">
        <v>5.9</v>
      </c>
      <c r="L221" s="271">
        <v>32</v>
      </c>
      <c r="M221" s="59"/>
      <c r="N221" s="248">
        <v>0.24299999999999999</v>
      </c>
      <c r="O221" s="248">
        <v>0.28000000000000003</v>
      </c>
      <c r="P221" s="249">
        <f>IF(O221&lt;&gt;"",MROUND(O221*64,Param_DSC!$C$60),"")</f>
        <v>18</v>
      </c>
      <c r="Q221" s="249">
        <f t="shared" si="51"/>
        <v>7.1120000000000001</v>
      </c>
      <c r="R221" s="249">
        <f t="shared" si="52"/>
        <v>812.8</v>
      </c>
      <c r="S221" s="247"/>
      <c r="T221" s="280"/>
      <c r="U221" s="252"/>
    </row>
    <row r="222" spans="1:21" x14ac:dyDescent="0.2">
      <c r="A222" s="203" t="s">
        <v>823</v>
      </c>
      <c r="B222" s="204"/>
      <c r="C222" s="204" t="s">
        <v>18</v>
      </c>
      <c r="D222" s="204"/>
      <c r="E222" s="211" t="s">
        <v>835</v>
      </c>
      <c r="F222" s="206">
        <v>0.5</v>
      </c>
      <c r="G222" s="207">
        <f t="shared" si="47"/>
        <v>0.41249999999999998</v>
      </c>
      <c r="H222" s="208">
        <f t="shared" si="48"/>
        <v>63.030303030303031</v>
      </c>
      <c r="I222" s="209">
        <f t="shared" si="49"/>
        <v>200.10000000000002</v>
      </c>
      <c r="J222" s="270">
        <f t="shared" si="50"/>
        <v>18</v>
      </c>
      <c r="K222" s="210">
        <v>6.9</v>
      </c>
      <c r="L222" s="271">
        <v>32</v>
      </c>
      <c r="M222" s="59"/>
      <c r="N222" s="248">
        <v>0.24299999999999999</v>
      </c>
      <c r="O222" s="248">
        <v>0.28499999999999998</v>
      </c>
      <c r="P222" s="249">
        <f>IF(O222&lt;&gt;"",MROUND(O222*64,Param_DSC!$C$60),"")</f>
        <v>18</v>
      </c>
      <c r="Q222" s="249">
        <f t="shared" si="51"/>
        <v>7.238999999999999</v>
      </c>
      <c r="R222" s="249">
        <f t="shared" si="52"/>
        <v>812.8</v>
      </c>
      <c r="S222" s="247"/>
      <c r="T222" s="280"/>
      <c r="U222" s="252"/>
    </row>
    <row r="223" spans="1:21" x14ac:dyDescent="0.2">
      <c r="A223" s="203" t="s">
        <v>823</v>
      </c>
      <c r="B223" s="204"/>
      <c r="C223" s="204" t="s">
        <v>18</v>
      </c>
      <c r="D223" s="204"/>
      <c r="E223" s="211" t="s">
        <v>834</v>
      </c>
      <c r="F223" s="206">
        <v>0.5</v>
      </c>
      <c r="G223" s="207">
        <f t="shared" si="47"/>
        <v>0.41249999999999998</v>
      </c>
      <c r="H223" s="208">
        <f t="shared" si="48"/>
        <v>63.030303030303031</v>
      </c>
      <c r="I223" s="209">
        <f t="shared" si="49"/>
        <v>200.10000000000002</v>
      </c>
      <c r="J223" s="270">
        <f t="shared" si="50"/>
        <v>18</v>
      </c>
      <c r="K223" s="210">
        <v>6.9</v>
      </c>
      <c r="L223" s="271">
        <v>32</v>
      </c>
      <c r="M223" s="59"/>
      <c r="N223" s="248">
        <v>0.24299999999999999</v>
      </c>
      <c r="O223" s="247">
        <v>0.28499999999999998</v>
      </c>
      <c r="P223" s="249">
        <f>IF(O223&lt;&gt;"",MROUND(O223*64,Param_DSC!$C$60),"")</f>
        <v>18</v>
      </c>
      <c r="Q223" s="249">
        <f t="shared" si="51"/>
        <v>7.238999999999999</v>
      </c>
      <c r="R223" s="249">
        <f t="shared" si="52"/>
        <v>812.8</v>
      </c>
      <c r="S223" s="247"/>
      <c r="T223" s="280"/>
      <c r="U223" s="252"/>
    </row>
    <row r="224" spans="1:21" x14ac:dyDescent="0.2">
      <c r="A224" s="203" t="s">
        <v>823</v>
      </c>
      <c r="B224" s="204"/>
      <c r="C224" s="204" t="s">
        <v>18</v>
      </c>
      <c r="D224" s="204"/>
      <c r="E224" s="211" t="s">
        <v>837</v>
      </c>
      <c r="F224" s="206">
        <v>0.4</v>
      </c>
      <c r="G224" s="207">
        <f t="shared" si="47"/>
        <v>0.33</v>
      </c>
      <c r="H224" s="208">
        <f t="shared" si="48"/>
        <v>78.787878787878782</v>
      </c>
      <c r="I224" s="209">
        <f t="shared" si="49"/>
        <v>229.10000000000002</v>
      </c>
      <c r="J224" s="270">
        <f t="shared" si="50"/>
        <v>19</v>
      </c>
      <c r="K224" s="210">
        <v>7.9</v>
      </c>
      <c r="L224" s="271">
        <v>32</v>
      </c>
      <c r="M224" s="59"/>
      <c r="N224" s="248">
        <v>0.24299999999999999</v>
      </c>
      <c r="O224" s="247">
        <v>0.29199999999999998</v>
      </c>
      <c r="P224" s="249">
        <f>IF(O224&lt;&gt;"",MROUND(O224*64,Param_DSC!$C$60),"")</f>
        <v>18.5</v>
      </c>
      <c r="Q224" s="249">
        <f t="shared" si="51"/>
        <v>7.4167999999999994</v>
      </c>
      <c r="R224" s="249">
        <f t="shared" si="52"/>
        <v>812.8</v>
      </c>
      <c r="S224" s="247"/>
      <c r="T224" s="280"/>
      <c r="U224" s="252"/>
    </row>
    <row r="225" spans="1:21" x14ac:dyDescent="0.2">
      <c r="A225" s="203" t="s">
        <v>823</v>
      </c>
      <c r="B225" s="204"/>
      <c r="C225" s="204" t="s">
        <v>18</v>
      </c>
      <c r="D225" s="204"/>
      <c r="E225" s="211" t="s">
        <v>836</v>
      </c>
      <c r="F225" s="206">
        <v>0.4</v>
      </c>
      <c r="G225" s="207">
        <f t="shared" si="47"/>
        <v>0.33</v>
      </c>
      <c r="H225" s="208">
        <f t="shared" si="48"/>
        <v>78.787878787878782</v>
      </c>
      <c r="I225" s="209">
        <f t="shared" si="49"/>
        <v>229.10000000000002</v>
      </c>
      <c r="J225" s="270">
        <f t="shared" si="50"/>
        <v>19</v>
      </c>
      <c r="K225" s="210">
        <v>7.9</v>
      </c>
      <c r="L225" s="271">
        <v>32</v>
      </c>
      <c r="M225" s="59"/>
      <c r="N225" s="248">
        <v>0.24299999999999999</v>
      </c>
      <c r="O225" s="247">
        <v>0.29199999999999998</v>
      </c>
      <c r="P225" s="249">
        <f>IF(O225&lt;&gt;"",MROUND(O225*64,Param_DSC!$C$60),"")</f>
        <v>18.5</v>
      </c>
      <c r="Q225" s="249">
        <f t="shared" si="51"/>
        <v>7.4167999999999994</v>
      </c>
      <c r="R225" s="249">
        <f t="shared" si="52"/>
        <v>812.8</v>
      </c>
      <c r="S225" s="247"/>
      <c r="T225" s="280"/>
      <c r="U225" s="252"/>
    </row>
    <row r="226" spans="1:21" x14ac:dyDescent="0.2">
      <c r="A226" s="203" t="s">
        <v>823</v>
      </c>
      <c r="B226" s="204"/>
      <c r="C226" s="204" t="s">
        <v>18</v>
      </c>
      <c r="D226" s="204"/>
      <c r="E226" s="211" t="s">
        <v>839</v>
      </c>
      <c r="F226" s="206">
        <v>0.3</v>
      </c>
      <c r="G226" s="207">
        <f t="shared" si="47"/>
        <v>0.24749999999999997</v>
      </c>
      <c r="H226" s="208">
        <f t="shared" si="48"/>
        <v>105.05050505050507</v>
      </c>
      <c r="I226" s="209">
        <f t="shared" si="49"/>
        <v>275.5</v>
      </c>
      <c r="J226" s="270">
        <f t="shared" si="50"/>
        <v>20</v>
      </c>
      <c r="K226" s="210">
        <v>9.5</v>
      </c>
      <c r="L226" s="271">
        <v>32</v>
      </c>
      <c r="M226" s="59"/>
      <c r="N226" s="248">
        <v>0.24299999999999999</v>
      </c>
      <c r="O226" s="247">
        <v>0.30199999999999999</v>
      </c>
      <c r="P226" s="249">
        <f>IF(O226&lt;&gt;"",MROUND(O226*64,Param_DSC!$C$60),"")</f>
        <v>19.5</v>
      </c>
      <c r="Q226" s="249">
        <f t="shared" si="51"/>
        <v>7.670799999999999</v>
      </c>
      <c r="R226" s="249">
        <f t="shared" si="52"/>
        <v>812.8</v>
      </c>
      <c r="S226" s="247"/>
      <c r="T226" s="280"/>
      <c r="U226" s="252"/>
    </row>
    <row r="227" spans="1:21" x14ac:dyDescent="0.2">
      <c r="A227" s="203" t="s">
        <v>823</v>
      </c>
      <c r="B227" s="204"/>
      <c r="C227" s="204" t="s">
        <v>18</v>
      </c>
      <c r="D227" s="204"/>
      <c r="E227" s="211" t="s">
        <v>838</v>
      </c>
      <c r="F227" s="206">
        <v>0.3</v>
      </c>
      <c r="G227" s="207">
        <f t="shared" si="47"/>
        <v>0.24749999999999997</v>
      </c>
      <c r="H227" s="208">
        <f t="shared" si="48"/>
        <v>105.05050505050507</v>
      </c>
      <c r="I227" s="209">
        <f t="shared" si="49"/>
        <v>275.5</v>
      </c>
      <c r="J227" s="270">
        <f t="shared" si="50"/>
        <v>20</v>
      </c>
      <c r="K227" s="210">
        <v>9.5</v>
      </c>
      <c r="L227" s="271">
        <v>32</v>
      </c>
      <c r="M227" s="59"/>
      <c r="N227" s="248">
        <v>0.24299999999999999</v>
      </c>
      <c r="O227" s="247">
        <v>0.30199999999999999</v>
      </c>
      <c r="P227" s="249">
        <f>IF(O227&lt;&gt;"",MROUND(O227*64,Param_DSC!$C$60),"")</f>
        <v>19.5</v>
      </c>
      <c r="Q227" s="249">
        <f t="shared" si="51"/>
        <v>7.670799999999999</v>
      </c>
      <c r="R227" s="249">
        <f t="shared" si="52"/>
        <v>812.8</v>
      </c>
      <c r="S227" s="247"/>
      <c r="T227" s="280"/>
      <c r="U227" s="252"/>
    </row>
    <row r="228" spans="1:21" ht="12.75" customHeight="1" x14ac:dyDescent="0.25">
      <c r="A228" s="212" t="s">
        <v>125</v>
      </c>
      <c r="B228" s="213"/>
      <c r="C228" s="213"/>
      <c r="D228" s="213"/>
      <c r="E228" s="219">
        <v>1214</v>
      </c>
      <c r="F228" s="220">
        <v>2.5009999999999999</v>
      </c>
      <c r="G228" s="221">
        <f t="shared" ref="G228:G284" si="53">F228*0.825</f>
        <v>2.0633249999999999</v>
      </c>
      <c r="H228" s="222">
        <f t="shared" si="45"/>
        <v>12.601020197981414</v>
      </c>
      <c r="I228" s="223">
        <f t="shared" si="46"/>
        <v>171.10000000000002</v>
      </c>
      <c r="J228" s="223">
        <f t="shared" ref="J228:J271" si="54">VALUE(LEFT(E228,2))</f>
        <v>12</v>
      </c>
      <c r="K228" s="224">
        <v>5.9</v>
      </c>
      <c r="L228" s="225">
        <v>26.5</v>
      </c>
      <c r="N228" s="244"/>
      <c r="O228" s="245"/>
      <c r="P228" s="249" t="str">
        <f>IF(O228&lt;&gt;"",MROUND(O228*64,Param_DSC!$C$60),"")</f>
        <v/>
      </c>
      <c r="Q228" s="249" t="str">
        <f t="shared" si="44"/>
        <v/>
      </c>
      <c r="R228" s="249">
        <f t="shared" ref="R228:R283" si="55">L228*25.4</f>
        <v>673.09999999999991</v>
      </c>
      <c r="S228" s="257" t="s">
        <v>326</v>
      </c>
      <c r="T228" s="284"/>
      <c r="U228" s="257"/>
    </row>
    <row r="229" spans="1:21" ht="12.75" customHeight="1" x14ac:dyDescent="0.25">
      <c r="A229" s="212" t="s">
        <v>125</v>
      </c>
      <c r="B229" s="213"/>
      <c r="C229" s="213"/>
      <c r="D229" s="213"/>
      <c r="E229" s="219">
        <v>1413</v>
      </c>
      <c r="F229" s="220">
        <v>2.036</v>
      </c>
      <c r="G229" s="221">
        <f t="shared" si="53"/>
        <v>1.6797</v>
      </c>
      <c r="H229" s="222">
        <f t="shared" si="45"/>
        <v>15.478954575221765</v>
      </c>
      <c r="I229" s="223">
        <f t="shared" si="46"/>
        <v>171.10000000000002</v>
      </c>
      <c r="J229" s="223">
        <f t="shared" si="54"/>
        <v>14</v>
      </c>
      <c r="K229" s="224">
        <v>5.9</v>
      </c>
      <c r="L229" s="225">
        <v>26</v>
      </c>
      <c r="N229" s="244"/>
      <c r="O229" s="245"/>
      <c r="P229" s="249" t="str">
        <f>IF(O229&lt;&gt;"",MROUND(O229*64,Param_DSC!$C$60),"")</f>
        <v/>
      </c>
      <c r="Q229" s="249" t="str">
        <f t="shared" si="44"/>
        <v/>
      </c>
      <c r="R229" s="249">
        <f t="shared" si="55"/>
        <v>660.4</v>
      </c>
      <c r="S229" s="258" t="s">
        <v>327</v>
      </c>
      <c r="T229" s="284"/>
      <c r="U229" s="257"/>
    </row>
    <row r="230" spans="1:21" ht="12.75" customHeight="1" x14ac:dyDescent="0.25">
      <c r="A230" s="212" t="s">
        <v>125</v>
      </c>
      <c r="B230" s="213"/>
      <c r="C230" s="213"/>
      <c r="D230" s="213"/>
      <c r="E230" s="226">
        <v>1416</v>
      </c>
      <c r="F230" s="227">
        <v>1.6839999999999999</v>
      </c>
      <c r="G230" s="207">
        <f t="shared" si="53"/>
        <v>1.3893</v>
      </c>
      <c r="H230" s="208">
        <f t="shared" si="45"/>
        <v>18.714460519686174</v>
      </c>
      <c r="I230" s="228">
        <f t="shared" si="46"/>
        <v>208.8</v>
      </c>
      <c r="J230" s="228">
        <f t="shared" si="54"/>
        <v>14</v>
      </c>
      <c r="K230" s="216">
        <v>7.2</v>
      </c>
      <c r="L230" s="202">
        <v>27</v>
      </c>
      <c r="N230" s="244"/>
      <c r="O230" s="245"/>
      <c r="P230" s="249" t="str">
        <f>IF(O230&lt;&gt;"",MROUND(O230*64,Param_DSC!$C$60),"")</f>
        <v/>
      </c>
      <c r="Q230" s="249" t="str">
        <f t="shared" si="44"/>
        <v/>
      </c>
      <c r="R230" s="249">
        <f t="shared" si="55"/>
        <v>685.8</v>
      </c>
      <c r="S230" s="258" t="s">
        <v>327</v>
      </c>
      <c r="T230" s="284"/>
      <c r="U230" s="257"/>
    </row>
    <row r="231" spans="1:21" ht="12.75" customHeight="1" x14ac:dyDescent="0.2">
      <c r="A231" s="212" t="s">
        <v>125</v>
      </c>
      <c r="B231" s="213"/>
      <c r="C231" s="213"/>
      <c r="D231" s="213"/>
      <c r="E231" s="214">
        <v>1514</v>
      </c>
      <c r="F231" s="215">
        <v>1.379</v>
      </c>
      <c r="G231" s="207">
        <f t="shared" si="53"/>
        <v>1.137675</v>
      </c>
      <c r="H231" s="208">
        <f t="shared" si="45"/>
        <v>22.853626914540619</v>
      </c>
      <c r="I231" s="228">
        <v>285</v>
      </c>
      <c r="J231" s="228">
        <f t="shared" si="54"/>
        <v>15</v>
      </c>
      <c r="K231" s="229">
        <v>6.8</v>
      </c>
      <c r="L231" s="218">
        <v>26.5</v>
      </c>
      <c r="N231" s="244"/>
      <c r="O231" s="245"/>
      <c r="P231" s="249" t="str">
        <f>IF(O231&lt;&gt;"",MROUND(O231*64,Param_DSC!$C$60),"")</f>
        <v/>
      </c>
      <c r="Q231" s="249" t="str">
        <f t="shared" si="44"/>
        <v/>
      </c>
      <c r="R231" s="249">
        <f t="shared" si="55"/>
        <v>673.09999999999991</v>
      </c>
      <c r="S231" s="247"/>
      <c r="T231" s="280"/>
      <c r="U231" s="247"/>
    </row>
    <row r="232" spans="1:21" ht="12.75" customHeight="1" x14ac:dyDescent="0.25">
      <c r="A232" s="212" t="s">
        <v>125</v>
      </c>
      <c r="B232" s="213"/>
      <c r="C232" s="213"/>
      <c r="D232" s="213"/>
      <c r="E232" s="226">
        <v>1516</v>
      </c>
      <c r="F232" s="227">
        <v>1.403</v>
      </c>
      <c r="G232" s="207">
        <f t="shared" si="53"/>
        <v>1.157475</v>
      </c>
      <c r="H232" s="208">
        <f t="shared" si="45"/>
        <v>22.462688179010346</v>
      </c>
      <c r="I232" s="228">
        <f>K232*29</f>
        <v>211.7</v>
      </c>
      <c r="J232" s="228">
        <f t="shared" si="54"/>
        <v>15</v>
      </c>
      <c r="K232" s="216">
        <v>7.3</v>
      </c>
      <c r="L232" s="202">
        <v>27.5</v>
      </c>
      <c r="N232" s="244"/>
      <c r="O232" s="245"/>
      <c r="P232" s="249" t="str">
        <f>IF(O232&lt;&gt;"",MROUND(O232*64,Param_DSC!$C$60),"")</f>
        <v/>
      </c>
      <c r="Q232" s="249" t="str">
        <f t="shared" si="44"/>
        <v/>
      </c>
      <c r="R232" s="249">
        <f t="shared" si="55"/>
        <v>698.5</v>
      </c>
      <c r="S232" s="258" t="s">
        <v>330</v>
      </c>
      <c r="T232" s="284"/>
      <c r="U232" s="257"/>
    </row>
    <row r="233" spans="1:21" x14ac:dyDescent="0.2">
      <c r="A233" s="212" t="s">
        <v>125</v>
      </c>
      <c r="B233" s="213"/>
      <c r="C233" s="213"/>
      <c r="D233" s="213"/>
      <c r="E233" s="214">
        <v>1614</v>
      </c>
      <c r="F233" s="215">
        <v>1.153</v>
      </c>
      <c r="G233" s="207">
        <f t="shared" si="53"/>
        <v>0.95122499999999999</v>
      </c>
      <c r="H233" s="208">
        <f t="shared" si="45"/>
        <v>27.333175641935398</v>
      </c>
      <c r="I233" s="228">
        <v>285</v>
      </c>
      <c r="J233" s="228">
        <f t="shared" si="54"/>
        <v>16</v>
      </c>
      <c r="K233" s="229">
        <v>7.7</v>
      </c>
      <c r="L233" s="218">
        <v>28</v>
      </c>
      <c r="N233" s="244"/>
      <c r="O233" s="245"/>
      <c r="P233" s="249" t="str">
        <f>IF(O233&lt;&gt;"",MROUND(O233*64,Param_DSC!$C$60),"")</f>
        <v/>
      </c>
      <c r="Q233" s="249" t="str">
        <f t="shared" si="44"/>
        <v/>
      </c>
      <c r="R233" s="249">
        <f t="shared" si="55"/>
        <v>711.19999999999993</v>
      </c>
      <c r="S233" s="247"/>
      <c r="T233" s="280"/>
      <c r="U233" s="247"/>
    </row>
    <row r="234" spans="1:21" ht="12.75" customHeight="1" x14ac:dyDescent="0.25">
      <c r="A234" s="212" t="s">
        <v>125</v>
      </c>
      <c r="B234" s="213"/>
      <c r="C234" s="213"/>
      <c r="D234" s="213"/>
      <c r="E234" s="226">
        <v>1616</v>
      </c>
      <c r="F234" s="227">
        <v>0.95699999999999996</v>
      </c>
      <c r="G234" s="207">
        <f t="shared" si="53"/>
        <v>0.78952499999999992</v>
      </c>
      <c r="H234" s="208">
        <f t="shared" si="45"/>
        <v>32.931192805800961</v>
      </c>
      <c r="I234" s="228">
        <f>K234*29</f>
        <v>284.20000000000005</v>
      </c>
      <c r="J234" s="228">
        <f t="shared" si="54"/>
        <v>16</v>
      </c>
      <c r="K234" s="216">
        <v>9.8000000000000007</v>
      </c>
      <c r="L234" s="202">
        <v>28.5</v>
      </c>
      <c r="N234" s="244"/>
      <c r="O234" s="245"/>
      <c r="P234" s="249" t="str">
        <f>IF(O234&lt;&gt;"",MROUND(O234*64,Param_DSC!$C$60),"")</f>
        <v/>
      </c>
      <c r="Q234" s="249" t="str">
        <f t="shared" si="44"/>
        <v/>
      </c>
      <c r="R234" s="249">
        <f t="shared" si="55"/>
        <v>723.9</v>
      </c>
      <c r="S234" s="258" t="s">
        <v>330</v>
      </c>
      <c r="T234" s="284"/>
      <c r="U234" s="257"/>
    </row>
    <row r="235" spans="1:21" ht="12.75" customHeight="1" x14ac:dyDescent="0.25">
      <c r="A235" s="212" t="s">
        <v>125</v>
      </c>
      <c r="B235" s="213"/>
      <c r="C235" s="213"/>
      <c r="D235" s="213"/>
      <c r="E235" s="226">
        <v>1618</v>
      </c>
      <c r="F235" s="227">
        <v>0.95699999999999996</v>
      </c>
      <c r="G235" s="207">
        <f t="shared" si="53"/>
        <v>0.78952499999999992</v>
      </c>
      <c r="H235" s="208">
        <f t="shared" si="45"/>
        <v>32.931192805800961</v>
      </c>
      <c r="I235" s="228">
        <f>K235*29</f>
        <v>284.20000000000005</v>
      </c>
      <c r="J235" s="228">
        <f t="shared" si="54"/>
        <v>16</v>
      </c>
      <c r="K235" s="216">
        <v>9.8000000000000007</v>
      </c>
      <c r="L235" s="202">
        <v>32.5</v>
      </c>
      <c r="N235" s="244"/>
      <c r="O235" s="245"/>
      <c r="P235" s="249" t="str">
        <f>IF(O235&lt;&gt;"",MROUND(O235*64,Param_DSC!$C$60),"")</f>
        <v/>
      </c>
      <c r="Q235" s="249" t="str">
        <f t="shared" si="44"/>
        <v/>
      </c>
      <c r="R235" s="249">
        <f t="shared" si="55"/>
        <v>825.5</v>
      </c>
      <c r="S235" s="258" t="s">
        <v>330</v>
      </c>
      <c r="T235" s="284"/>
      <c r="U235" s="257"/>
    </row>
    <row r="236" spans="1:21" ht="12.75" customHeight="1" x14ac:dyDescent="0.25">
      <c r="A236" s="212" t="s">
        <v>125</v>
      </c>
      <c r="B236" s="213"/>
      <c r="C236" s="213"/>
      <c r="D236" s="213"/>
      <c r="E236" s="214">
        <v>1713</v>
      </c>
      <c r="F236" s="215">
        <v>1.03</v>
      </c>
      <c r="G236" s="207">
        <f t="shared" si="53"/>
        <v>0.84975000000000001</v>
      </c>
      <c r="H236" s="208">
        <f t="shared" si="45"/>
        <v>30.597234480729625</v>
      </c>
      <c r="I236" s="228">
        <v>216</v>
      </c>
      <c r="J236" s="228">
        <f t="shared" si="54"/>
        <v>17</v>
      </c>
      <c r="K236" s="229">
        <f>I236/29</f>
        <v>7.4482758620689653</v>
      </c>
      <c r="L236" s="218">
        <v>29</v>
      </c>
      <c r="N236" s="244"/>
      <c r="O236" s="245"/>
      <c r="P236" s="249" t="str">
        <f>IF(O236&lt;&gt;"",MROUND(O236*64,Param_DSC!$C$60),"")</f>
        <v/>
      </c>
      <c r="Q236" s="249" t="str">
        <f t="shared" si="44"/>
        <v/>
      </c>
      <c r="R236" s="249">
        <f t="shared" si="55"/>
        <v>736.59999999999991</v>
      </c>
      <c r="S236" s="258" t="s">
        <v>330</v>
      </c>
      <c r="T236" s="284"/>
      <c r="U236" s="257"/>
    </row>
    <row r="237" spans="1:21" x14ac:dyDescent="0.2">
      <c r="A237" s="212" t="s">
        <v>125</v>
      </c>
      <c r="B237" s="213"/>
      <c r="C237" s="213"/>
      <c r="D237" s="213"/>
      <c r="E237" s="214">
        <v>1714</v>
      </c>
      <c r="F237" s="215">
        <v>0.96299999999999997</v>
      </c>
      <c r="G237" s="207">
        <f t="shared" si="53"/>
        <v>0.79447499999999993</v>
      </c>
      <c r="H237" s="208">
        <f t="shared" si="45"/>
        <v>32.726014034425255</v>
      </c>
      <c r="I237" s="228">
        <v>285</v>
      </c>
      <c r="J237" s="228">
        <f t="shared" si="54"/>
        <v>17</v>
      </c>
      <c r="K237" s="229">
        <v>8.1</v>
      </c>
      <c r="L237" s="218">
        <v>29</v>
      </c>
      <c r="N237" s="244"/>
      <c r="O237" s="245"/>
      <c r="P237" s="249" t="str">
        <f>IF(O237&lt;&gt;"",MROUND(O237*64,Param_DSC!$C$60),"")</f>
        <v/>
      </c>
      <c r="Q237" s="249" t="str">
        <f t="shared" si="44"/>
        <v/>
      </c>
      <c r="R237" s="249">
        <f t="shared" si="55"/>
        <v>736.59999999999991</v>
      </c>
      <c r="S237" s="247"/>
      <c r="T237" s="280"/>
      <c r="U237" s="247"/>
    </row>
    <row r="238" spans="1:21" ht="12.75" customHeight="1" x14ac:dyDescent="0.25">
      <c r="A238" s="212" t="s">
        <v>125</v>
      </c>
      <c r="B238" s="213"/>
      <c r="C238" s="213"/>
      <c r="D238" s="213"/>
      <c r="E238" s="214">
        <v>1716</v>
      </c>
      <c r="F238" s="215">
        <v>0.88</v>
      </c>
      <c r="G238" s="207">
        <f t="shared" si="53"/>
        <v>0.72599999999999998</v>
      </c>
      <c r="H238" s="208">
        <f t="shared" si="45"/>
        <v>35.812672176308538</v>
      </c>
      <c r="I238" s="228">
        <v>262</v>
      </c>
      <c r="J238" s="228">
        <f t="shared" si="54"/>
        <v>17</v>
      </c>
      <c r="K238" s="229">
        <v>9</v>
      </c>
      <c r="L238" s="218">
        <v>29</v>
      </c>
      <c r="N238" s="244"/>
      <c r="O238" s="245"/>
      <c r="P238" s="249" t="str">
        <f>IF(O238&lt;&gt;"",MROUND(O238*64,Param_DSC!$C$60),"")</f>
        <v/>
      </c>
      <c r="Q238" s="249" t="str">
        <f t="shared" si="44"/>
        <v/>
      </c>
      <c r="R238" s="249">
        <f t="shared" si="55"/>
        <v>736.59999999999991</v>
      </c>
      <c r="S238" s="258" t="s">
        <v>330</v>
      </c>
      <c r="T238" s="284">
        <v>10</v>
      </c>
      <c r="U238" s="258" t="s">
        <v>331</v>
      </c>
    </row>
    <row r="239" spans="1:21" ht="12.75" customHeight="1" x14ac:dyDescent="0.25">
      <c r="A239" s="212" t="s">
        <v>125</v>
      </c>
      <c r="B239" s="213"/>
      <c r="C239" s="213"/>
      <c r="D239" s="213"/>
      <c r="E239" s="214">
        <v>1813</v>
      </c>
      <c r="F239" s="215">
        <v>0.86</v>
      </c>
      <c r="G239" s="207">
        <f t="shared" si="53"/>
        <v>0.70949999999999991</v>
      </c>
      <c r="H239" s="208">
        <f t="shared" si="45"/>
        <v>36.645525017618048</v>
      </c>
      <c r="I239" s="228">
        <v>227</v>
      </c>
      <c r="J239" s="228">
        <f t="shared" si="54"/>
        <v>18</v>
      </c>
      <c r="K239" s="229">
        <f>I239/29</f>
        <v>7.8275862068965516</v>
      </c>
      <c r="L239" s="218">
        <v>30</v>
      </c>
      <c r="N239" s="244"/>
      <c r="O239" s="245"/>
      <c r="P239" s="249" t="str">
        <f>IF(O239&lt;&gt;"",MROUND(O239*64,Param_DSC!$C$60),"")</f>
        <v/>
      </c>
      <c r="Q239" s="249" t="str">
        <f t="shared" si="44"/>
        <v/>
      </c>
      <c r="R239" s="249">
        <f t="shared" si="55"/>
        <v>762</v>
      </c>
      <c r="S239" s="257"/>
      <c r="T239" s="284"/>
      <c r="U239" s="257"/>
    </row>
    <row r="240" spans="1:21" ht="15" customHeight="1" x14ac:dyDescent="0.2">
      <c r="A240" s="212" t="s">
        <v>125</v>
      </c>
      <c r="B240" s="213"/>
      <c r="C240" s="213"/>
      <c r="D240" s="213"/>
      <c r="E240" s="214">
        <v>1814</v>
      </c>
      <c r="F240" s="215">
        <v>0.79900000000000004</v>
      </c>
      <c r="G240" s="207">
        <f t="shared" si="53"/>
        <v>0.65917499999999996</v>
      </c>
      <c r="H240" s="208">
        <f t="shared" si="45"/>
        <v>39.44324344824971</v>
      </c>
      <c r="I240" s="228">
        <v>285</v>
      </c>
      <c r="J240" s="228">
        <f t="shared" si="54"/>
        <v>18</v>
      </c>
      <c r="K240" s="229">
        <v>8.6</v>
      </c>
      <c r="L240" s="218">
        <v>29.5</v>
      </c>
      <c r="N240" s="244"/>
      <c r="O240" s="245"/>
      <c r="P240" s="249" t="str">
        <f>IF(O240&lt;&gt;"",MROUND(O240*64,Param_DSC!$C$60),"")</f>
        <v/>
      </c>
      <c r="Q240" s="249" t="str">
        <f t="shared" si="44"/>
        <v/>
      </c>
      <c r="R240" s="249">
        <f t="shared" si="55"/>
        <v>749.3</v>
      </c>
      <c r="S240" s="247"/>
      <c r="T240" s="280"/>
      <c r="U240" s="247"/>
    </row>
    <row r="241" spans="1:21" ht="12.75" customHeight="1" x14ac:dyDescent="0.25">
      <c r="A241" s="212" t="s">
        <v>125</v>
      </c>
      <c r="B241" s="213"/>
      <c r="C241" s="213"/>
      <c r="D241" s="213"/>
      <c r="E241" s="214">
        <v>1816</v>
      </c>
      <c r="F241" s="215">
        <v>0.75600000000000001</v>
      </c>
      <c r="G241" s="207">
        <f t="shared" si="53"/>
        <v>0.62369999999999992</v>
      </c>
      <c r="H241" s="208">
        <f t="shared" si="45"/>
        <v>41.686708353375025</v>
      </c>
      <c r="I241" s="228">
        <v>268</v>
      </c>
      <c r="J241" s="228">
        <f t="shared" si="54"/>
        <v>18</v>
      </c>
      <c r="K241" s="229">
        <v>9.3000000000000007</v>
      </c>
      <c r="L241" s="218">
        <v>30</v>
      </c>
      <c r="N241" s="244"/>
      <c r="O241" s="245"/>
      <c r="P241" s="249" t="str">
        <f>IF(O241&lt;&gt;"",MROUND(O241*64,Param_DSC!$C$60),"")</f>
        <v/>
      </c>
      <c r="Q241" s="249" t="str">
        <f t="shared" si="44"/>
        <v/>
      </c>
      <c r="R241" s="249">
        <f t="shared" si="55"/>
        <v>762</v>
      </c>
      <c r="S241" s="258" t="s">
        <v>144</v>
      </c>
      <c r="T241" s="284">
        <v>12</v>
      </c>
      <c r="U241" s="258" t="s">
        <v>144</v>
      </c>
    </row>
    <row r="242" spans="1:21" ht="12.75" customHeight="1" x14ac:dyDescent="0.25">
      <c r="A242" s="212" t="s">
        <v>125</v>
      </c>
      <c r="B242" s="213"/>
      <c r="C242" s="213"/>
      <c r="D242" s="213"/>
      <c r="E242" s="214">
        <v>1820</v>
      </c>
      <c r="F242" s="215">
        <v>0.59199999999999997</v>
      </c>
      <c r="G242" s="207">
        <f t="shared" si="53"/>
        <v>0.48839999999999995</v>
      </c>
      <c r="H242" s="208">
        <f t="shared" si="45"/>
        <v>53.235053235053243</v>
      </c>
      <c r="I242" s="228">
        <v>268</v>
      </c>
      <c r="J242" s="228">
        <f t="shared" si="54"/>
        <v>18</v>
      </c>
      <c r="K242" s="229">
        <v>12.2</v>
      </c>
      <c r="L242" s="218"/>
      <c r="N242" s="244"/>
      <c r="O242" s="245"/>
      <c r="P242" s="249" t="str">
        <f>IF(O242&lt;&gt;"",MROUND(O242*64,Param_DSC!$C$60),"")</f>
        <v/>
      </c>
      <c r="Q242" s="249" t="str">
        <f t="shared" si="44"/>
        <v/>
      </c>
      <c r="R242" s="249">
        <f t="shared" si="55"/>
        <v>0</v>
      </c>
      <c r="S242" s="258" t="s">
        <v>144</v>
      </c>
      <c r="T242" s="284">
        <v>12</v>
      </c>
      <c r="U242" s="258" t="s">
        <v>144</v>
      </c>
    </row>
    <row r="243" spans="1:21" ht="12.75" customHeight="1" x14ac:dyDescent="0.25">
      <c r="A243" s="212" t="s">
        <v>125</v>
      </c>
      <c r="B243" s="213"/>
      <c r="C243" s="213"/>
      <c r="D243" s="213"/>
      <c r="E243" s="214">
        <v>1913</v>
      </c>
      <c r="F243" s="215">
        <v>0.72499999999999998</v>
      </c>
      <c r="G243" s="207">
        <f t="shared" si="53"/>
        <v>0.59812499999999991</v>
      </c>
      <c r="H243" s="208">
        <f t="shared" si="45"/>
        <v>43.469174503657271</v>
      </c>
      <c r="I243" s="228">
        <v>241</v>
      </c>
      <c r="J243" s="228">
        <f t="shared" si="54"/>
        <v>19</v>
      </c>
      <c r="K243" s="229">
        <f>I243/29</f>
        <v>8.3103448275862064</v>
      </c>
      <c r="L243" s="218"/>
      <c r="N243" s="244"/>
      <c r="O243" s="245"/>
      <c r="P243" s="249" t="str">
        <f>IF(O243&lt;&gt;"",MROUND(O243*64,Param_DSC!$C$60),"")</f>
        <v/>
      </c>
      <c r="Q243" s="249" t="str">
        <f t="shared" si="44"/>
        <v/>
      </c>
      <c r="R243" s="249">
        <f t="shared" si="55"/>
        <v>0</v>
      </c>
      <c r="S243" s="257"/>
      <c r="T243" s="284"/>
      <c r="U243" s="257"/>
    </row>
    <row r="244" spans="1:21" x14ac:dyDescent="0.2">
      <c r="A244" s="212" t="s">
        <v>125</v>
      </c>
      <c r="B244" s="213"/>
      <c r="C244" s="213"/>
      <c r="D244" s="213"/>
      <c r="E244" s="214">
        <v>1914</v>
      </c>
      <c r="F244" s="215">
        <v>0.65800000000000003</v>
      </c>
      <c r="G244" s="207">
        <f t="shared" si="53"/>
        <v>0.54284999999999994</v>
      </c>
      <c r="H244" s="208">
        <f t="shared" si="45"/>
        <v>47.895367044303221</v>
      </c>
      <c r="I244" s="228">
        <v>285</v>
      </c>
      <c r="J244" s="228">
        <f t="shared" si="54"/>
        <v>19</v>
      </c>
      <c r="K244" s="229">
        <v>9.3000000000000007</v>
      </c>
      <c r="L244" s="218"/>
      <c r="N244" s="244"/>
      <c r="O244" s="245"/>
      <c r="P244" s="249" t="str">
        <f>IF(O244&lt;&gt;"",MROUND(O244*64,Param_DSC!$C$60),"")</f>
        <v/>
      </c>
      <c r="Q244" s="249" t="str">
        <f t="shared" si="44"/>
        <v/>
      </c>
      <c r="R244" s="249">
        <f t="shared" si="55"/>
        <v>0</v>
      </c>
      <c r="S244" s="247"/>
      <c r="T244" s="280"/>
      <c r="U244" s="247"/>
    </row>
    <row r="245" spans="1:21" ht="12.75" customHeight="1" x14ac:dyDescent="0.25">
      <c r="A245" s="212" t="s">
        <v>125</v>
      </c>
      <c r="B245" s="213"/>
      <c r="C245" s="213"/>
      <c r="D245" s="213"/>
      <c r="E245" s="214">
        <v>1916</v>
      </c>
      <c r="F245" s="215">
        <v>0.623</v>
      </c>
      <c r="G245" s="207">
        <f t="shared" si="53"/>
        <v>0.51397499999999996</v>
      </c>
      <c r="H245" s="208">
        <f t="shared" si="45"/>
        <v>50.586118001848341</v>
      </c>
      <c r="I245" s="228">
        <v>291</v>
      </c>
      <c r="J245" s="228">
        <f t="shared" si="54"/>
        <v>19</v>
      </c>
      <c r="K245" s="229">
        <v>10</v>
      </c>
      <c r="L245" s="218"/>
      <c r="N245" s="244"/>
      <c r="O245" s="245"/>
      <c r="P245" s="249" t="str">
        <f>IF(O245&lt;&gt;"",MROUND(O245*64,Param_DSC!$C$60),"")</f>
        <v/>
      </c>
      <c r="Q245" s="249" t="str">
        <f t="shared" si="44"/>
        <v/>
      </c>
      <c r="R245" s="249">
        <f t="shared" si="55"/>
        <v>0</v>
      </c>
      <c r="S245" s="258" t="s">
        <v>144</v>
      </c>
      <c r="T245" s="284">
        <v>16</v>
      </c>
      <c r="U245" s="258" t="s">
        <v>301</v>
      </c>
    </row>
    <row r="246" spans="1:21" ht="12.75" customHeight="1" x14ac:dyDescent="0.25">
      <c r="A246" s="212" t="s">
        <v>125</v>
      </c>
      <c r="B246" s="213"/>
      <c r="C246" s="213"/>
      <c r="D246" s="213"/>
      <c r="E246" s="214">
        <v>2013</v>
      </c>
      <c r="F246" s="215">
        <v>0.6</v>
      </c>
      <c r="G246" s="207">
        <f t="shared" si="53"/>
        <v>0.49499999999999994</v>
      </c>
      <c r="H246" s="208">
        <f t="shared" si="45"/>
        <v>52.525252525252533</v>
      </c>
      <c r="I246" s="228">
        <v>262</v>
      </c>
      <c r="J246" s="228">
        <f t="shared" si="54"/>
        <v>20</v>
      </c>
      <c r="K246" s="229">
        <f>I246/29</f>
        <v>9.0344827586206904</v>
      </c>
      <c r="L246" s="218">
        <v>32</v>
      </c>
      <c r="N246" s="244"/>
      <c r="O246" s="245"/>
      <c r="P246" s="249" t="str">
        <f>IF(O246&lt;&gt;"",MROUND(O246*64,Param_DSC!$C$60),"")</f>
        <v/>
      </c>
      <c r="Q246" s="249" t="str">
        <f t="shared" si="44"/>
        <v/>
      </c>
      <c r="R246" s="249">
        <f t="shared" si="55"/>
        <v>812.8</v>
      </c>
      <c r="S246" s="257"/>
      <c r="T246" s="284"/>
      <c r="U246" s="257"/>
    </row>
    <row r="247" spans="1:21" x14ac:dyDescent="0.2">
      <c r="A247" s="212" t="s">
        <v>125</v>
      </c>
      <c r="B247" s="213"/>
      <c r="C247" s="213"/>
      <c r="D247" s="213"/>
      <c r="E247" s="214">
        <v>2014</v>
      </c>
      <c r="F247" s="215">
        <v>0.57899999999999996</v>
      </c>
      <c r="G247" s="207">
        <f t="shared" si="53"/>
        <v>0.47767499999999996</v>
      </c>
      <c r="H247" s="208">
        <f t="shared" si="45"/>
        <v>54.430313497671015</v>
      </c>
      <c r="I247" s="228">
        <v>285</v>
      </c>
      <c r="J247" s="228">
        <f t="shared" si="54"/>
        <v>20</v>
      </c>
      <c r="K247" s="229">
        <v>9.6</v>
      </c>
      <c r="L247" s="218">
        <v>31.5</v>
      </c>
      <c r="N247" s="244"/>
      <c r="O247" s="245"/>
      <c r="P247" s="249" t="str">
        <f>IF(O247&lt;&gt;"",MROUND(O247*64,Param_DSC!$C$60),"")</f>
        <v/>
      </c>
      <c r="Q247" s="249" t="str">
        <f t="shared" si="44"/>
        <v/>
      </c>
      <c r="R247" s="249">
        <f t="shared" si="55"/>
        <v>800.09999999999991</v>
      </c>
      <c r="S247" s="247"/>
      <c r="T247" s="280"/>
      <c r="U247" s="247"/>
    </row>
    <row r="248" spans="1:21" ht="12.75" customHeight="1" x14ac:dyDescent="0.25">
      <c r="A248" s="212" t="s">
        <v>125</v>
      </c>
      <c r="B248" s="213"/>
      <c r="C248" s="213"/>
      <c r="D248" s="213"/>
      <c r="E248" s="214">
        <v>2016</v>
      </c>
      <c r="F248" s="227">
        <v>0.53100000000000003</v>
      </c>
      <c r="G248" s="207">
        <f t="shared" si="53"/>
        <v>0.43807499999999999</v>
      </c>
      <c r="H248" s="208">
        <f t="shared" si="45"/>
        <v>59.350567825144097</v>
      </c>
      <c r="I248" s="228">
        <v>305</v>
      </c>
      <c r="J248" s="228">
        <f t="shared" si="54"/>
        <v>20</v>
      </c>
      <c r="K248" s="229">
        <v>10.6</v>
      </c>
      <c r="L248" s="218">
        <v>32</v>
      </c>
      <c r="N248" s="244"/>
      <c r="O248" s="245"/>
      <c r="P248" s="249" t="str">
        <f>IF(O248&lt;&gt;"",MROUND(O248*64,Param_DSC!$C$60),"")</f>
        <v/>
      </c>
      <c r="Q248" s="249" t="str">
        <f t="shared" si="44"/>
        <v/>
      </c>
      <c r="R248" s="249">
        <f t="shared" si="55"/>
        <v>812.8</v>
      </c>
      <c r="S248" s="258" t="s">
        <v>301</v>
      </c>
      <c r="T248" s="284">
        <v>20</v>
      </c>
      <c r="U248" s="258" t="s">
        <v>301</v>
      </c>
    </row>
    <row r="249" spans="1:21" x14ac:dyDescent="0.2">
      <c r="A249" s="212" t="s">
        <v>125</v>
      </c>
      <c r="B249" s="213"/>
      <c r="C249" s="213"/>
      <c r="D249" s="213"/>
      <c r="E249" s="214">
        <v>2018</v>
      </c>
      <c r="F249" s="215">
        <v>0.46500000000000002</v>
      </c>
      <c r="G249" s="207">
        <f t="shared" si="53"/>
        <v>0.38362499999999999</v>
      </c>
      <c r="H249" s="208">
        <f t="shared" si="45"/>
        <v>67.774519387422615</v>
      </c>
      <c r="I249" s="228">
        <v>357</v>
      </c>
      <c r="J249" s="228">
        <f t="shared" si="54"/>
        <v>20</v>
      </c>
      <c r="K249" s="229">
        <f>I249/29</f>
        <v>12.310344827586206</v>
      </c>
      <c r="L249" s="218"/>
      <c r="N249" s="244"/>
      <c r="O249" s="245"/>
      <c r="P249" s="249" t="str">
        <f>IF(O249&lt;&gt;"",MROUND(O249*64,Param_DSC!$C$60),"")</f>
        <v/>
      </c>
      <c r="Q249" s="249" t="str">
        <f t="shared" si="44"/>
        <v/>
      </c>
      <c r="R249" s="249">
        <f t="shared" si="55"/>
        <v>0</v>
      </c>
      <c r="S249" s="247"/>
      <c r="T249" s="280"/>
      <c r="U249" s="247"/>
    </row>
    <row r="250" spans="1:21" x14ac:dyDescent="0.2">
      <c r="A250" s="212" t="s">
        <v>125</v>
      </c>
      <c r="B250" s="213"/>
      <c r="C250" s="213"/>
      <c r="D250" s="213"/>
      <c r="E250" s="214">
        <v>2020</v>
      </c>
      <c r="F250" s="215">
        <v>0.44500000000000001</v>
      </c>
      <c r="G250" s="207">
        <f t="shared" si="53"/>
        <v>0.36712499999999998</v>
      </c>
      <c r="H250" s="208">
        <f t="shared" si="45"/>
        <v>70.820565202587673</v>
      </c>
      <c r="I250" s="228">
        <v>392</v>
      </c>
      <c r="J250" s="228">
        <f t="shared" si="54"/>
        <v>20</v>
      </c>
      <c r="K250" s="229">
        <f>I250/29</f>
        <v>13.517241379310345</v>
      </c>
      <c r="L250" s="218"/>
      <c r="N250" s="244"/>
      <c r="O250" s="245"/>
      <c r="P250" s="249" t="str">
        <f>IF(O250&lt;&gt;"",MROUND(O250*64,Param_DSC!$C$60),"")</f>
        <v/>
      </c>
      <c r="Q250" s="249" t="str">
        <f t="shared" si="44"/>
        <v/>
      </c>
      <c r="R250" s="249">
        <f t="shared" si="55"/>
        <v>0</v>
      </c>
      <c r="S250" s="247"/>
      <c r="T250" s="280"/>
      <c r="U250" s="247"/>
    </row>
    <row r="251" spans="1:21" x14ac:dyDescent="0.2">
      <c r="A251" s="212" t="s">
        <v>125</v>
      </c>
      <c r="B251" s="213"/>
      <c r="C251" s="213"/>
      <c r="D251" s="213"/>
      <c r="E251" s="214">
        <v>2113</v>
      </c>
      <c r="F251" s="215">
        <v>0.53</v>
      </c>
      <c r="G251" s="207">
        <f t="shared" si="53"/>
        <v>0.43724999999999997</v>
      </c>
      <c r="H251" s="208">
        <f t="shared" si="45"/>
        <v>59.462550028587771</v>
      </c>
      <c r="I251" s="228">
        <v>270</v>
      </c>
      <c r="J251" s="228">
        <f t="shared" si="54"/>
        <v>21</v>
      </c>
      <c r="K251" s="229">
        <f>I251/29</f>
        <v>9.3103448275862064</v>
      </c>
      <c r="L251" s="218"/>
      <c r="N251" s="244"/>
      <c r="O251" s="245"/>
      <c r="P251" s="249" t="str">
        <f>IF(O251&lt;&gt;"",MROUND(O251*64,Param_DSC!$C$60),"")</f>
        <v/>
      </c>
      <c r="Q251" s="249" t="str">
        <f t="shared" si="44"/>
        <v/>
      </c>
      <c r="R251" s="249">
        <f t="shared" si="55"/>
        <v>0</v>
      </c>
      <c r="S251" s="247"/>
      <c r="T251" s="280"/>
      <c r="U251" s="247"/>
    </row>
    <row r="252" spans="1:21" x14ac:dyDescent="0.2">
      <c r="A252" s="212" t="s">
        <v>125</v>
      </c>
      <c r="B252" s="213"/>
      <c r="C252" s="213"/>
      <c r="D252" s="213"/>
      <c r="E252" s="214">
        <v>2114</v>
      </c>
      <c r="F252" s="215">
        <v>0.51</v>
      </c>
      <c r="G252" s="207">
        <f t="shared" si="53"/>
        <v>0.42074999999999996</v>
      </c>
      <c r="H252" s="208">
        <f t="shared" si="45"/>
        <v>61.794414735591211</v>
      </c>
      <c r="I252" s="228">
        <v>285</v>
      </c>
      <c r="J252" s="228">
        <f t="shared" si="54"/>
        <v>21</v>
      </c>
      <c r="K252" s="229">
        <v>9.9</v>
      </c>
      <c r="L252" s="218">
        <v>32.5</v>
      </c>
      <c r="N252" s="244"/>
      <c r="O252" s="245"/>
      <c r="P252" s="249" t="str">
        <f>IF(O252&lt;&gt;"",MROUND(O252*64,Param_DSC!$C$60),"")</f>
        <v/>
      </c>
      <c r="Q252" s="249" t="str">
        <f t="shared" si="44"/>
        <v/>
      </c>
      <c r="R252" s="249">
        <f t="shared" si="55"/>
        <v>825.5</v>
      </c>
      <c r="S252" s="247"/>
      <c r="T252" s="280"/>
      <c r="U252" s="252" t="s">
        <v>301</v>
      </c>
    </row>
    <row r="253" spans="1:21" x14ac:dyDescent="0.2">
      <c r="A253" s="212" t="s">
        <v>125</v>
      </c>
      <c r="B253" s="213"/>
      <c r="C253" s="213"/>
      <c r="D253" s="213"/>
      <c r="E253" s="214">
        <v>2115</v>
      </c>
      <c r="F253" s="215">
        <v>0.46</v>
      </c>
      <c r="G253" s="207">
        <f t="shared" si="53"/>
        <v>0.3795</v>
      </c>
      <c r="H253" s="208">
        <f t="shared" si="45"/>
        <v>68.511198945981548</v>
      </c>
      <c r="I253" s="228">
        <v>313</v>
      </c>
      <c r="J253" s="228">
        <f t="shared" si="54"/>
        <v>21</v>
      </c>
      <c r="K253" s="229">
        <f>I253/29</f>
        <v>10.793103448275861</v>
      </c>
      <c r="L253" s="218"/>
      <c r="N253" s="244"/>
      <c r="O253" s="245"/>
      <c r="P253" s="249" t="str">
        <f>IF(O253&lt;&gt;"",MROUND(O253*64,Param_DSC!$C$60),"")</f>
        <v/>
      </c>
      <c r="Q253" s="249" t="str">
        <f t="shared" si="44"/>
        <v/>
      </c>
      <c r="R253" s="249">
        <f t="shared" si="55"/>
        <v>0</v>
      </c>
      <c r="S253" s="247"/>
      <c r="T253" s="280"/>
      <c r="U253" s="247"/>
    </row>
    <row r="254" spans="1:21" x14ac:dyDescent="0.2">
      <c r="A254" s="212" t="s">
        <v>125</v>
      </c>
      <c r="B254" s="213"/>
      <c r="C254" s="213"/>
      <c r="D254" s="213"/>
      <c r="E254" s="214">
        <v>2117</v>
      </c>
      <c r="F254" s="215">
        <v>0.40200000000000002</v>
      </c>
      <c r="G254" s="207">
        <f t="shared" si="53"/>
        <v>0.33165</v>
      </c>
      <c r="H254" s="208">
        <f t="shared" si="45"/>
        <v>78.395899291421685</v>
      </c>
      <c r="I254" s="228">
        <v>347</v>
      </c>
      <c r="J254" s="228">
        <f t="shared" si="54"/>
        <v>21</v>
      </c>
      <c r="K254" s="229">
        <f>I254/29</f>
        <v>11.96551724137931</v>
      </c>
      <c r="L254" s="218"/>
      <c r="N254" s="244"/>
      <c r="O254" s="245"/>
      <c r="P254" s="249" t="str">
        <f>IF(O254&lt;&gt;"",MROUND(O254*64,Param_DSC!$C$60),"")</f>
        <v/>
      </c>
      <c r="Q254" s="249" t="str">
        <f t="shared" si="44"/>
        <v/>
      </c>
      <c r="R254" s="249">
        <f t="shared" si="55"/>
        <v>0</v>
      </c>
      <c r="S254" s="247"/>
      <c r="T254" s="280"/>
      <c r="U254" s="247"/>
    </row>
    <row r="255" spans="1:21" x14ac:dyDescent="0.2">
      <c r="A255" s="212" t="s">
        <v>125</v>
      </c>
      <c r="B255" s="213"/>
      <c r="C255" s="213"/>
      <c r="D255" s="213"/>
      <c r="E255" s="214">
        <v>2212</v>
      </c>
      <c r="F255" s="215">
        <v>0.505</v>
      </c>
      <c r="G255" s="207">
        <f t="shared" si="53"/>
        <v>0.41662499999999997</v>
      </c>
      <c r="H255" s="208">
        <f t="shared" si="45"/>
        <v>62.406240624062413</v>
      </c>
      <c r="I255" s="228">
        <v>284</v>
      </c>
      <c r="J255" s="228">
        <f t="shared" si="54"/>
        <v>22</v>
      </c>
      <c r="K255" s="229">
        <v>8.8000000000000007</v>
      </c>
      <c r="L255" s="218">
        <v>32.5</v>
      </c>
      <c r="N255" s="244"/>
      <c r="O255" s="245"/>
      <c r="P255" s="249" t="str">
        <f>IF(O255&lt;&gt;"",MROUND(O255*64,Param_DSC!$C$60),"")</f>
        <v/>
      </c>
      <c r="Q255" s="249" t="str">
        <f t="shared" si="44"/>
        <v/>
      </c>
      <c r="R255" s="249">
        <f t="shared" si="55"/>
        <v>825.5</v>
      </c>
      <c r="S255" s="247"/>
      <c r="T255" s="280"/>
      <c r="U255" s="252" t="s">
        <v>578</v>
      </c>
    </row>
    <row r="256" spans="1:21" x14ac:dyDescent="0.2">
      <c r="A256" s="212" t="s">
        <v>125</v>
      </c>
      <c r="B256" s="213"/>
      <c r="C256" s="213"/>
      <c r="D256" s="213"/>
      <c r="E256" s="214">
        <v>2213</v>
      </c>
      <c r="F256" s="215">
        <v>0.45800000000000002</v>
      </c>
      <c r="G256" s="207">
        <f t="shared" si="53"/>
        <v>0.37785000000000002</v>
      </c>
      <c r="H256" s="208">
        <f t="shared" si="45"/>
        <v>68.810374487230376</v>
      </c>
      <c r="I256" s="228">
        <v>284</v>
      </c>
      <c r="J256" s="228">
        <f t="shared" si="54"/>
        <v>22</v>
      </c>
      <c r="K256" s="229">
        <v>9.9</v>
      </c>
      <c r="L256" s="218">
        <v>33.5</v>
      </c>
      <c r="N256" s="244"/>
      <c r="O256" s="245"/>
      <c r="P256" s="249" t="str">
        <f>IF(O256&lt;&gt;"",MROUND(O256*64,Param_DSC!$C$60),"")</f>
        <v/>
      </c>
      <c r="Q256" s="249" t="str">
        <f t="shared" si="44"/>
        <v/>
      </c>
      <c r="R256" s="249">
        <f t="shared" si="55"/>
        <v>850.9</v>
      </c>
      <c r="S256" s="247"/>
      <c r="T256" s="280"/>
      <c r="U256" s="252" t="s">
        <v>578</v>
      </c>
    </row>
    <row r="257" spans="1:21" x14ac:dyDescent="0.2">
      <c r="A257" s="212" t="s">
        <v>125</v>
      </c>
      <c r="B257" s="213"/>
      <c r="C257" s="213"/>
      <c r="D257" s="213"/>
      <c r="E257" s="214">
        <v>2214</v>
      </c>
      <c r="F257" s="215">
        <v>0.42499999999999999</v>
      </c>
      <c r="G257" s="207">
        <f t="shared" si="53"/>
        <v>0.35062499999999996</v>
      </c>
      <c r="H257" s="208">
        <f t="shared" si="45"/>
        <v>74.15329768270945</v>
      </c>
      <c r="I257" s="228">
        <v>284</v>
      </c>
      <c r="J257" s="228">
        <f t="shared" si="54"/>
        <v>22</v>
      </c>
      <c r="K257" s="229">
        <v>10.4</v>
      </c>
      <c r="L257" s="218">
        <v>33</v>
      </c>
      <c r="N257" s="244"/>
      <c r="O257" s="245"/>
      <c r="P257" s="249" t="str">
        <f>IF(O257&lt;&gt;"",MROUND(O257*64,Param_DSC!$C$60),"")</f>
        <v/>
      </c>
      <c r="Q257" s="249" t="str">
        <f t="shared" si="44"/>
        <v/>
      </c>
      <c r="R257" s="249">
        <f t="shared" si="55"/>
        <v>838.19999999999993</v>
      </c>
      <c r="S257" s="247"/>
      <c r="T257" s="280"/>
      <c r="U257" s="252"/>
    </row>
    <row r="258" spans="1:21" x14ac:dyDescent="0.2">
      <c r="A258" s="212" t="s">
        <v>125</v>
      </c>
      <c r="B258" s="213"/>
      <c r="C258" s="213"/>
      <c r="D258" s="213"/>
      <c r="E258" s="214">
        <v>2215</v>
      </c>
      <c r="F258" s="215">
        <v>0.41299999999999998</v>
      </c>
      <c r="G258" s="207">
        <f t="shared" si="53"/>
        <v>0.34072499999999994</v>
      </c>
      <c r="H258" s="208">
        <f t="shared" si="45"/>
        <v>76.30787291804242</v>
      </c>
      <c r="I258" s="228">
        <v>312</v>
      </c>
      <c r="J258" s="228">
        <f t="shared" si="54"/>
        <v>22</v>
      </c>
      <c r="K258" s="229">
        <f>I258/29</f>
        <v>10.758620689655173</v>
      </c>
      <c r="L258" s="218"/>
      <c r="N258" s="244"/>
      <c r="O258" s="245"/>
      <c r="P258" s="249" t="str">
        <f>IF(O258&lt;&gt;"",MROUND(O258*64,Param_DSC!$C$60),"")</f>
        <v/>
      </c>
      <c r="Q258" s="249" t="str">
        <f t="shared" si="44"/>
        <v/>
      </c>
      <c r="R258" s="249">
        <f t="shared" si="55"/>
        <v>0</v>
      </c>
      <c r="S258" s="247"/>
      <c r="T258" s="280"/>
      <c r="U258" s="247"/>
    </row>
    <row r="259" spans="1:21" ht="15" customHeight="1" x14ac:dyDescent="0.2">
      <c r="A259" s="212" t="s">
        <v>125</v>
      </c>
      <c r="B259" s="213"/>
      <c r="C259" s="213"/>
      <c r="D259" s="213"/>
      <c r="E259" s="214">
        <v>2216</v>
      </c>
      <c r="F259" s="215">
        <v>0.374</v>
      </c>
      <c r="G259" s="207">
        <f t="shared" si="53"/>
        <v>0.30854999999999999</v>
      </c>
      <c r="H259" s="208">
        <f t="shared" si="45"/>
        <v>84.265111003078914</v>
      </c>
      <c r="I259" s="228">
        <v>348</v>
      </c>
      <c r="J259" s="228">
        <f t="shared" si="54"/>
        <v>22</v>
      </c>
      <c r="K259" s="229">
        <f>I259/29</f>
        <v>12</v>
      </c>
      <c r="L259" s="218"/>
      <c r="N259" s="244"/>
      <c r="O259" s="245"/>
      <c r="P259" s="249" t="str">
        <f>IF(O259&lt;&gt;"",MROUND(O259*64,Param_DSC!$C$60),"")</f>
        <v/>
      </c>
      <c r="Q259" s="249" t="str">
        <f t="shared" si="44"/>
        <v/>
      </c>
      <c r="R259" s="249">
        <f t="shared" si="55"/>
        <v>0</v>
      </c>
      <c r="S259" s="247"/>
      <c r="T259" s="280"/>
      <c r="U259" s="247"/>
    </row>
    <row r="260" spans="1:21" ht="15" customHeight="1" x14ac:dyDescent="0.2">
      <c r="A260" s="212" t="s">
        <v>125</v>
      </c>
      <c r="B260" s="213"/>
      <c r="C260" s="213"/>
      <c r="D260" s="213"/>
      <c r="E260" s="214">
        <v>2219</v>
      </c>
      <c r="F260" s="215">
        <v>0.33600000000000002</v>
      </c>
      <c r="G260" s="207">
        <f t="shared" si="53"/>
        <v>0.2772</v>
      </c>
      <c r="H260" s="208">
        <f t="shared" si="45"/>
        <v>93.795093795093791</v>
      </c>
      <c r="I260" s="228">
        <v>398</v>
      </c>
      <c r="J260" s="228">
        <f t="shared" si="54"/>
        <v>22</v>
      </c>
      <c r="K260" s="229">
        <f>I260/29</f>
        <v>13.724137931034482</v>
      </c>
      <c r="L260" s="218"/>
      <c r="N260" s="244"/>
      <c r="O260" s="245"/>
      <c r="P260" s="249" t="str">
        <f>IF(O260&lt;&gt;"",MROUND(O260*64,Param_DSC!$C$60),"")</f>
        <v/>
      </c>
      <c r="Q260" s="249" t="str">
        <f t="shared" si="44"/>
        <v/>
      </c>
      <c r="R260" s="249">
        <f t="shared" si="55"/>
        <v>0</v>
      </c>
      <c r="S260" s="247"/>
      <c r="T260" s="280"/>
      <c r="U260" s="247"/>
    </row>
    <row r="261" spans="1:21" ht="15" customHeight="1" x14ac:dyDescent="0.2">
      <c r="A261" s="212" t="s">
        <v>125</v>
      </c>
      <c r="B261" s="213"/>
      <c r="C261" s="213"/>
      <c r="D261" s="213"/>
      <c r="E261" s="214">
        <v>2312</v>
      </c>
      <c r="F261" s="215">
        <v>0.42299999999999999</v>
      </c>
      <c r="G261" s="207">
        <f t="shared" si="53"/>
        <v>0.34897499999999998</v>
      </c>
      <c r="H261" s="208">
        <f t="shared" si="45"/>
        <v>74.50390429113834</v>
      </c>
      <c r="I261" s="228">
        <v>307</v>
      </c>
      <c r="J261" s="228">
        <f t="shared" si="54"/>
        <v>23</v>
      </c>
      <c r="K261" s="229">
        <v>9.5</v>
      </c>
      <c r="L261" s="218">
        <v>33</v>
      </c>
      <c r="N261" s="244"/>
      <c r="O261" s="245"/>
      <c r="P261" s="249" t="str">
        <f>IF(O261&lt;&gt;"",MROUND(O261*64,Param_DSC!$C$60),"")</f>
        <v/>
      </c>
      <c r="Q261" s="249" t="str">
        <f t="shared" si="44"/>
        <v/>
      </c>
      <c r="R261" s="249">
        <f t="shared" si="55"/>
        <v>838.19999999999993</v>
      </c>
      <c r="S261" s="247"/>
      <c r="T261" s="280"/>
      <c r="U261" s="252" t="s">
        <v>578</v>
      </c>
    </row>
    <row r="262" spans="1:21" ht="15" customHeight="1" x14ac:dyDescent="0.2">
      <c r="A262" s="212" t="s">
        <v>125</v>
      </c>
      <c r="B262" s="213"/>
      <c r="C262" s="213"/>
      <c r="D262" s="213"/>
      <c r="E262" s="214">
        <v>2314</v>
      </c>
      <c r="F262" s="215">
        <v>0.39100000000000001</v>
      </c>
      <c r="G262" s="207">
        <f t="shared" si="53"/>
        <v>0.322575</v>
      </c>
      <c r="H262" s="208">
        <f t="shared" si="45"/>
        <v>80.601410524684184</v>
      </c>
      <c r="I262" s="228">
        <v>307</v>
      </c>
      <c r="J262" s="228">
        <f t="shared" si="54"/>
        <v>23</v>
      </c>
      <c r="K262" s="229">
        <v>10.8</v>
      </c>
      <c r="L262" s="218">
        <v>33.5</v>
      </c>
      <c r="N262" s="244"/>
      <c r="O262" s="245"/>
      <c r="P262" s="249" t="str">
        <f>IF(O262&lt;&gt;"",MROUND(O262*64,Param_DSC!$C$60),"")</f>
        <v/>
      </c>
      <c r="Q262" s="249" t="str">
        <f t="shared" si="44"/>
        <v/>
      </c>
      <c r="R262" s="249">
        <f t="shared" si="55"/>
        <v>850.9</v>
      </c>
      <c r="S262" s="247"/>
      <c r="T262" s="280"/>
      <c r="U262" s="252" t="s">
        <v>578</v>
      </c>
    </row>
    <row r="263" spans="1:21" ht="15" customHeight="1" x14ac:dyDescent="0.2">
      <c r="A263" s="212" t="s">
        <v>125</v>
      </c>
      <c r="B263" s="213"/>
      <c r="C263" s="213"/>
      <c r="D263" s="213"/>
      <c r="E263" s="214">
        <v>2315</v>
      </c>
      <c r="F263" s="215">
        <v>0.34200000000000003</v>
      </c>
      <c r="G263" s="207">
        <f t="shared" si="53"/>
        <v>0.28215000000000001</v>
      </c>
      <c r="H263" s="208">
        <f t="shared" si="45"/>
        <v>92.14956583377635</v>
      </c>
      <c r="I263" s="228">
        <v>338</v>
      </c>
      <c r="J263" s="228">
        <f t="shared" si="54"/>
        <v>23</v>
      </c>
      <c r="K263" s="229">
        <v>11.8</v>
      </c>
      <c r="L263" s="218">
        <v>32</v>
      </c>
      <c r="N263" s="244"/>
      <c r="O263" s="245"/>
      <c r="P263" s="249" t="str">
        <f>IF(O263&lt;&gt;"",MROUND(O263*64,Param_DSC!$C$60),"")</f>
        <v/>
      </c>
      <c r="Q263" s="249" t="str">
        <f t="shared" si="44"/>
        <v/>
      </c>
      <c r="R263" s="249">
        <f t="shared" si="55"/>
        <v>812.8</v>
      </c>
      <c r="S263" s="247"/>
      <c r="T263" s="280"/>
      <c r="U263" s="252" t="s">
        <v>578</v>
      </c>
    </row>
    <row r="264" spans="1:21" ht="15" customHeight="1" x14ac:dyDescent="0.2">
      <c r="A264" s="212" t="s">
        <v>125</v>
      </c>
      <c r="B264" s="213"/>
      <c r="C264" s="213"/>
      <c r="D264" s="213"/>
      <c r="E264" s="214">
        <v>2317</v>
      </c>
      <c r="F264" s="215">
        <v>0.29499999999999998</v>
      </c>
      <c r="G264" s="207">
        <f t="shared" si="53"/>
        <v>0.24337499999999998</v>
      </c>
      <c r="H264" s="208">
        <f t="shared" si="45"/>
        <v>106.83102208525938</v>
      </c>
      <c r="I264" s="228">
        <v>385</v>
      </c>
      <c r="J264" s="228">
        <f t="shared" si="54"/>
        <v>23</v>
      </c>
      <c r="K264" s="229">
        <f>I264/29</f>
        <v>13.275862068965518</v>
      </c>
      <c r="L264" s="218">
        <v>34</v>
      </c>
      <c r="N264" s="244"/>
      <c r="O264" s="245"/>
      <c r="P264" s="249" t="str">
        <f>IF(O264&lt;&gt;"",MROUND(O264*64,Param_DSC!$C$60),"")</f>
        <v/>
      </c>
      <c r="Q264" s="249" t="str">
        <f t="shared" si="44"/>
        <v/>
      </c>
      <c r="R264" s="249">
        <f t="shared" si="55"/>
        <v>863.59999999999991</v>
      </c>
      <c r="S264" s="247"/>
      <c r="T264" s="280"/>
      <c r="U264" s="247"/>
    </row>
    <row r="265" spans="1:21" ht="15" customHeight="1" x14ac:dyDescent="0.2">
      <c r="A265" s="212" t="s">
        <v>125</v>
      </c>
      <c r="B265" s="213"/>
      <c r="C265" s="213"/>
      <c r="D265" s="213"/>
      <c r="E265" s="214">
        <v>2412</v>
      </c>
      <c r="F265" s="215">
        <v>0.4</v>
      </c>
      <c r="G265" s="207">
        <f t="shared" si="53"/>
        <v>0.33</v>
      </c>
      <c r="H265" s="208">
        <f t="shared" si="45"/>
        <v>78.787878787878782</v>
      </c>
      <c r="I265" s="228">
        <v>302</v>
      </c>
      <c r="J265" s="228">
        <f t="shared" si="54"/>
        <v>24</v>
      </c>
      <c r="K265" s="229">
        <v>9.6999999999999993</v>
      </c>
      <c r="L265" s="218">
        <v>34</v>
      </c>
      <c r="N265" s="244"/>
      <c r="O265" s="245"/>
      <c r="P265" s="249" t="str">
        <f>IF(O265&lt;&gt;"",MROUND(O265*64,Param_DSC!$C$60),"")</f>
        <v/>
      </c>
      <c r="Q265" s="249" t="str">
        <f t="shared" si="44"/>
        <v/>
      </c>
      <c r="R265" s="249">
        <f t="shared" si="55"/>
        <v>863.59999999999991</v>
      </c>
      <c r="S265" s="247"/>
      <c r="T265" s="280"/>
      <c r="U265" s="252" t="s">
        <v>578</v>
      </c>
    </row>
    <row r="266" spans="1:21" ht="15" customHeight="1" x14ac:dyDescent="0.2">
      <c r="A266" s="212" t="s">
        <v>125</v>
      </c>
      <c r="B266" s="213"/>
      <c r="C266" s="213"/>
      <c r="D266" s="213"/>
      <c r="E266" s="214">
        <v>2413</v>
      </c>
      <c r="F266" s="215">
        <v>0.36499999999999999</v>
      </c>
      <c r="G266" s="207">
        <f t="shared" si="53"/>
        <v>0.30112499999999998</v>
      </c>
      <c r="H266" s="208">
        <f t="shared" si="45"/>
        <v>86.342880863428817</v>
      </c>
      <c r="I266" s="228">
        <v>302</v>
      </c>
      <c r="J266" s="228">
        <f t="shared" si="54"/>
        <v>24</v>
      </c>
      <c r="K266" s="229">
        <v>10.5</v>
      </c>
      <c r="L266" s="218">
        <v>34</v>
      </c>
      <c r="N266" s="244"/>
      <c r="O266" s="245"/>
      <c r="P266" s="249" t="str">
        <f>IF(O266&lt;&gt;"",MROUND(O266*64,Param_DSC!$C$60),"")</f>
        <v/>
      </c>
      <c r="Q266" s="249" t="str">
        <f t="shared" si="44"/>
        <v/>
      </c>
      <c r="R266" s="249">
        <f t="shared" si="55"/>
        <v>863.59999999999991</v>
      </c>
      <c r="S266" s="247"/>
      <c r="T266" s="280"/>
      <c r="U266" s="252" t="s">
        <v>578</v>
      </c>
    </row>
    <row r="267" spans="1:21" ht="15" customHeight="1" x14ac:dyDescent="0.2">
      <c r="A267" s="212" t="s">
        <v>125</v>
      </c>
      <c r="B267" s="213"/>
      <c r="C267" s="213"/>
      <c r="D267" s="213"/>
      <c r="E267" s="214">
        <v>2419</v>
      </c>
      <c r="F267" s="215">
        <v>0.26400000000000001</v>
      </c>
      <c r="G267" s="207">
        <f t="shared" si="53"/>
        <v>0.21779999999999999</v>
      </c>
      <c r="H267" s="208">
        <f t="shared" si="45"/>
        <v>119.37557392102848</v>
      </c>
      <c r="I267" s="228">
        <v>422</v>
      </c>
      <c r="J267" s="228">
        <f t="shared" si="54"/>
        <v>24</v>
      </c>
      <c r="K267" s="229">
        <f>I267/29</f>
        <v>14.551724137931034</v>
      </c>
      <c r="L267" s="218"/>
      <c r="N267" s="244"/>
      <c r="O267" s="245"/>
      <c r="P267" s="249" t="str">
        <f>IF(O267&lt;&gt;"",MROUND(O267*64,Param_DSC!$C$60),"")</f>
        <v/>
      </c>
      <c r="Q267" s="249" t="str">
        <f t="shared" ref="Q267:Q330" si="56">IF(O267&lt;&gt;"",O267*25.4,"")</f>
        <v/>
      </c>
      <c r="R267" s="249">
        <f t="shared" si="55"/>
        <v>0</v>
      </c>
      <c r="S267" s="247"/>
      <c r="T267" s="280"/>
      <c r="U267" s="247"/>
    </row>
    <row r="268" spans="1:21" ht="15" customHeight="1" x14ac:dyDescent="0.2">
      <c r="A268" s="212" t="s">
        <v>125</v>
      </c>
      <c r="B268" s="213"/>
      <c r="C268" s="213"/>
      <c r="D268" s="213"/>
      <c r="E268" s="214">
        <v>2512</v>
      </c>
      <c r="F268" s="215">
        <v>0.32100000000000001</v>
      </c>
      <c r="G268" s="207">
        <f t="shared" si="53"/>
        <v>0.26482499999999998</v>
      </c>
      <c r="H268" s="208">
        <f t="shared" si="45"/>
        <v>98.178042103275757</v>
      </c>
      <c r="I268" s="228">
        <v>328</v>
      </c>
      <c r="J268" s="228">
        <f t="shared" si="54"/>
        <v>25</v>
      </c>
      <c r="K268" s="229">
        <v>10.3</v>
      </c>
      <c r="L268" s="218">
        <v>34.5</v>
      </c>
      <c r="N268" s="244"/>
      <c r="O268" s="245"/>
      <c r="P268" s="249" t="str">
        <f>IF(O268&lt;&gt;"",MROUND(O268*64,Param_DSC!$C$60),"")</f>
        <v/>
      </c>
      <c r="Q268" s="249" t="str">
        <f t="shared" si="56"/>
        <v/>
      </c>
      <c r="R268" s="249">
        <f t="shared" si="55"/>
        <v>876.3</v>
      </c>
      <c r="S268" s="247"/>
      <c r="T268" s="280"/>
      <c r="U268" s="252" t="s">
        <v>578</v>
      </c>
    </row>
    <row r="269" spans="1:21" x14ac:dyDescent="0.2">
      <c r="A269" s="212" t="s">
        <v>125</v>
      </c>
      <c r="B269" s="213"/>
      <c r="C269" s="213"/>
      <c r="D269" s="213"/>
      <c r="E269" s="214">
        <v>2514</v>
      </c>
      <c r="F269" s="215">
        <v>0.30199999999999999</v>
      </c>
      <c r="G269" s="207">
        <f t="shared" si="53"/>
        <v>0.24914999999999998</v>
      </c>
      <c r="H269" s="208">
        <f t="shared" si="45"/>
        <v>104.35480634156131</v>
      </c>
      <c r="I269" s="228">
        <v>328</v>
      </c>
      <c r="J269" s="228">
        <f t="shared" si="54"/>
        <v>25</v>
      </c>
      <c r="K269" s="229">
        <f>I269/29</f>
        <v>11.310344827586206</v>
      </c>
      <c r="L269" s="218"/>
      <c r="N269" s="244"/>
      <c r="O269" s="245"/>
      <c r="P269" s="249" t="str">
        <f>IF(O269&lt;&gt;"",MROUND(O269*64,Param_DSC!$C$60),"")</f>
        <v/>
      </c>
      <c r="Q269" s="249" t="str">
        <f t="shared" si="56"/>
        <v/>
      </c>
      <c r="R269" s="249">
        <f t="shared" si="55"/>
        <v>0</v>
      </c>
      <c r="S269" s="247"/>
      <c r="T269" s="280"/>
      <c r="U269" s="247"/>
    </row>
    <row r="270" spans="1:21" x14ac:dyDescent="0.2">
      <c r="A270" s="212" t="s">
        <v>125</v>
      </c>
      <c r="B270" s="213"/>
      <c r="C270" s="213"/>
      <c r="D270" s="213"/>
      <c r="E270" s="214">
        <v>2613</v>
      </c>
      <c r="F270" s="215">
        <v>0.26500000000000001</v>
      </c>
      <c r="G270" s="207">
        <f t="shared" si="53"/>
        <v>0.21862499999999999</v>
      </c>
      <c r="H270" s="208">
        <f t="shared" si="45"/>
        <v>118.92510005717554</v>
      </c>
      <c r="I270" s="228">
        <v>340</v>
      </c>
      <c r="J270" s="228">
        <f t="shared" si="54"/>
        <v>26</v>
      </c>
      <c r="K270" s="229">
        <v>11.5</v>
      </c>
      <c r="L270" s="218">
        <v>34.5</v>
      </c>
      <c r="N270" s="244"/>
      <c r="O270" s="245"/>
      <c r="P270" s="249" t="str">
        <f>IF(O270&lt;&gt;"",MROUND(O270*64,Param_DSC!$C$60),"")</f>
        <v/>
      </c>
      <c r="Q270" s="249" t="str">
        <f t="shared" si="56"/>
        <v/>
      </c>
      <c r="R270" s="249">
        <f t="shared" si="55"/>
        <v>876.3</v>
      </c>
      <c r="S270" s="247"/>
      <c r="T270" s="280"/>
      <c r="U270" s="252" t="s">
        <v>579</v>
      </c>
    </row>
    <row r="271" spans="1:21" x14ac:dyDescent="0.2">
      <c r="A271" s="212" t="s">
        <v>125</v>
      </c>
      <c r="B271" s="213"/>
      <c r="C271" s="213"/>
      <c r="D271" s="213"/>
      <c r="E271" s="214">
        <v>2712</v>
      </c>
      <c r="F271" s="215">
        <v>0.26</v>
      </c>
      <c r="G271" s="207">
        <f t="shared" si="53"/>
        <v>0.2145</v>
      </c>
      <c r="H271" s="208">
        <f t="shared" si="45"/>
        <v>121.21212121212122</v>
      </c>
      <c r="I271" s="228">
        <v>340</v>
      </c>
      <c r="J271" s="228">
        <f t="shared" si="54"/>
        <v>27</v>
      </c>
      <c r="K271" s="229">
        <v>11.3</v>
      </c>
      <c r="L271" s="218">
        <v>34.5</v>
      </c>
      <c r="N271" s="244"/>
      <c r="O271" s="245"/>
      <c r="P271" s="249" t="str">
        <f>IF(O271&lt;&gt;"",MROUND(O271*64,Param_DSC!$C$60),"")</f>
        <v/>
      </c>
      <c r="Q271" s="249" t="str">
        <f t="shared" si="56"/>
        <v/>
      </c>
      <c r="R271" s="249">
        <f t="shared" si="55"/>
        <v>876.3</v>
      </c>
      <c r="S271" s="247"/>
      <c r="T271" s="280"/>
      <c r="U271" s="247"/>
    </row>
    <row r="272" spans="1:21" x14ac:dyDescent="0.2">
      <c r="A272" s="203" t="s">
        <v>125</v>
      </c>
      <c r="B272" s="204"/>
      <c r="C272" s="204"/>
      <c r="D272" s="204"/>
      <c r="E272" s="211" t="s">
        <v>512</v>
      </c>
      <c r="F272" s="206">
        <v>0.3</v>
      </c>
      <c r="G272" s="207">
        <f t="shared" si="53"/>
        <v>0.24749999999999997</v>
      </c>
      <c r="H272" s="208">
        <f t="shared" si="45"/>
        <v>105.05050505050507</v>
      </c>
      <c r="I272" s="209">
        <f t="shared" ref="I272:I304" si="57">K272*29</f>
        <v>301.60000000000002</v>
      </c>
      <c r="J272" s="270">
        <f t="shared" ref="J272:J287" si="58">ROUND(P272,0)</f>
        <v>18</v>
      </c>
      <c r="K272" s="210">
        <v>10.4</v>
      </c>
      <c r="L272" s="271"/>
      <c r="N272" s="248"/>
      <c r="O272" s="247">
        <v>0.28399999999999997</v>
      </c>
      <c r="P272" s="249">
        <f>IF(O272&lt;&gt;"",MROUND(O272*64,Param_DSC!$C$60),"")</f>
        <v>18</v>
      </c>
      <c r="Q272" s="249">
        <f t="shared" si="56"/>
        <v>7.2135999999999987</v>
      </c>
      <c r="R272" s="249">
        <f t="shared" si="55"/>
        <v>0</v>
      </c>
      <c r="S272" s="247"/>
      <c r="T272" s="280"/>
      <c r="U272" s="247"/>
    </row>
    <row r="273" spans="1:21" x14ac:dyDescent="0.2">
      <c r="A273" s="203" t="s">
        <v>125</v>
      </c>
      <c r="B273" s="204"/>
      <c r="C273" s="204"/>
      <c r="D273" s="204"/>
      <c r="E273" s="211" t="s">
        <v>513</v>
      </c>
      <c r="F273" s="206">
        <v>0.34</v>
      </c>
      <c r="G273" s="207">
        <f t="shared" si="53"/>
        <v>0.28050000000000003</v>
      </c>
      <c r="H273" s="208">
        <f t="shared" si="45"/>
        <v>92.691622103386806</v>
      </c>
      <c r="I273" s="209">
        <f t="shared" si="57"/>
        <v>281.29999999999995</v>
      </c>
      <c r="J273" s="270">
        <f t="shared" si="58"/>
        <v>18</v>
      </c>
      <c r="K273" s="210">
        <v>9.6999999999999993</v>
      </c>
      <c r="L273" s="271"/>
      <c r="N273" s="248"/>
      <c r="O273" s="247">
        <v>0.28000000000000003</v>
      </c>
      <c r="P273" s="249">
        <f>IF(O273&lt;&gt;"",MROUND(O273*64,Param_DSC!$C$60),"")</f>
        <v>18</v>
      </c>
      <c r="Q273" s="249">
        <f t="shared" si="56"/>
        <v>7.1120000000000001</v>
      </c>
      <c r="R273" s="249">
        <f t="shared" si="55"/>
        <v>0</v>
      </c>
      <c r="S273" s="247"/>
      <c r="T273" s="280"/>
      <c r="U273" s="247"/>
    </row>
    <row r="274" spans="1:21" x14ac:dyDescent="0.2">
      <c r="A274" s="203" t="s">
        <v>125</v>
      </c>
      <c r="B274" s="204"/>
      <c r="C274" s="204"/>
      <c r="D274" s="204"/>
      <c r="E274" s="211" t="s">
        <v>514</v>
      </c>
      <c r="F274" s="206">
        <v>0.39</v>
      </c>
      <c r="G274" s="207">
        <f t="shared" si="53"/>
        <v>0.32174999999999998</v>
      </c>
      <c r="H274" s="208">
        <f t="shared" si="45"/>
        <v>80.808080808080817</v>
      </c>
      <c r="I274" s="209">
        <f t="shared" si="57"/>
        <v>258.10000000000002</v>
      </c>
      <c r="J274" s="270">
        <f t="shared" si="58"/>
        <v>18</v>
      </c>
      <c r="K274" s="210">
        <v>8.9</v>
      </c>
      <c r="L274" s="271"/>
      <c r="N274" s="248"/>
      <c r="O274" s="247">
        <v>0.27600000000000002</v>
      </c>
      <c r="P274" s="249">
        <f>IF(O274&lt;&gt;"",MROUND(O274*64,Param_DSC!$C$60),"")</f>
        <v>17.5</v>
      </c>
      <c r="Q274" s="249">
        <f t="shared" si="56"/>
        <v>7.0104000000000006</v>
      </c>
      <c r="R274" s="249">
        <f t="shared" si="55"/>
        <v>0</v>
      </c>
      <c r="S274" s="247"/>
      <c r="T274" s="280"/>
      <c r="U274" s="247"/>
    </row>
    <row r="275" spans="1:21" x14ac:dyDescent="0.2">
      <c r="A275" s="203" t="s">
        <v>125</v>
      </c>
      <c r="B275" s="204"/>
      <c r="C275" s="204"/>
      <c r="D275" s="204"/>
      <c r="E275" s="211" t="s">
        <v>515</v>
      </c>
      <c r="F275" s="206">
        <v>0.44</v>
      </c>
      <c r="G275" s="207">
        <f t="shared" si="53"/>
        <v>0.36299999999999999</v>
      </c>
      <c r="H275" s="208">
        <f t="shared" ref="H275:H338" si="59">26/G275</f>
        <v>71.625344352617077</v>
      </c>
      <c r="I275" s="209">
        <f t="shared" si="57"/>
        <v>243.60000000000002</v>
      </c>
      <c r="J275" s="270">
        <f t="shared" si="58"/>
        <v>18</v>
      </c>
      <c r="K275" s="210">
        <v>8.4</v>
      </c>
      <c r="L275" s="271"/>
      <c r="N275" s="248"/>
      <c r="O275" s="247">
        <v>0.27300000000000002</v>
      </c>
      <c r="P275" s="249">
        <f>IF(O275&lt;&gt;"",MROUND(O275*64,Param_DSC!$C$60),"")</f>
        <v>17.5</v>
      </c>
      <c r="Q275" s="249">
        <f t="shared" si="56"/>
        <v>6.9341999999999997</v>
      </c>
      <c r="R275" s="249">
        <f t="shared" si="55"/>
        <v>0</v>
      </c>
      <c r="S275" s="247"/>
      <c r="T275" s="280"/>
      <c r="U275" s="247"/>
    </row>
    <row r="276" spans="1:21" x14ac:dyDescent="0.2">
      <c r="A276" s="203" t="s">
        <v>125</v>
      </c>
      <c r="B276" s="204"/>
      <c r="C276" s="204"/>
      <c r="D276" s="204"/>
      <c r="E276" s="211" t="s">
        <v>516</v>
      </c>
      <c r="F276" s="206">
        <v>0.3</v>
      </c>
      <c r="G276" s="207">
        <f t="shared" si="53"/>
        <v>0.24749999999999997</v>
      </c>
      <c r="H276" s="208">
        <f t="shared" si="59"/>
        <v>105.05050505050507</v>
      </c>
      <c r="I276" s="209">
        <f t="shared" si="57"/>
        <v>310.29999999999995</v>
      </c>
      <c r="J276" s="270">
        <f t="shared" si="58"/>
        <v>18</v>
      </c>
      <c r="K276" s="210">
        <v>10.7</v>
      </c>
      <c r="L276" s="271"/>
      <c r="N276" s="248"/>
      <c r="O276" s="247">
        <v>0.27500000000000002</v>
      </c>
      <c r="P276" s="249">
        <f>IF(O276&lt;&gt;"",MROUND(O276*64,Param_DSC!$C$60),"")</f>
        <v>17.5</v>
      </c>
      <c r="Q276" s="249">
        <f t="shared" si="56"/>
        <v>6.9850000000000003</v>
      </c>
      <c r="R276" s="249">
        <f t="shared" si="55"/>
        <v>0</v>
      </c>
      <c r="S276" s="247"/>
      <c r="T276" s="280"/>
      <c r="U276" s="247"/>
    </row>
    <row r="277" spans="1:21" x14ac:dyDescent="0.2">
      <c r="A277" s="203" t="s">
        <v>125</v>
      </c>
      <c r="B277" s="204"/>
      <c r="C277" s="204"/>
      <c r="D277" s="204"/>
      <c r="E277" s="211" t="s">
        <v>517</v>
      </c>
      <c r="F277" s="206">
        <v>0.34</v>
      </c>
      <c r="G277" s="207">
        <f t="shared" si="53"/>
        <v>0.28050000000000003</v>
      </c>
      <c r="H277" s="208">
        <f t="shared" si="59"/>
        <v>92.691622103386806</v>
      </c>
      <c r="I277" s="209">
        <f t="shared" si="57"/>
        <v>275.5</v>
      </c>
      <c r="J277" s="270">
        <f t="shared" si="58"/>
        <v>17</v>
      </c>
      <c r="K277" s="210">
        <v>9.5</v>
      </c>
      <c r="L277" s="271"/>
      <c r="N277" s="248"/>
      <c r="O277" s="247">
        <v>0.26700000000000002</v>
      </c>
      <c r="P277" s="249">
        <f>IF(O277&lt;&gt;"",MROUND(O277*64,Param_DSC!$C$60),"")</f>
        <v>17</v>
      </c>
      <c r="Q277" s="249">
        <f t="shared" si="56"/>
        <v>6.7817999999999996</v>
      </c>
      <c r="R277" s="249">
        <f t="shared" si="55"/>
        <v>0</v>
      </c>
      <c r="S277" s="247"/>
      <c r="T277" s="280"/>
      <c r="U277" s="247"/>
    </row>
    <row r="278" spans="1:21" x14ac:dyDescent="0.2">
      <c r="A278" s="203" t="s">
        <v>125</v>
      </c>
      <c r="B278" s="204"/>
      <c r="C278" s="204"/>
      <c r="D278" s="204"/>
      <c r="E278" s="211" t="s">
        <v>518</v>
      </c>
      <c r="F278" s="206">
        <v>0.4</v>
      </c>
      <c r="G278" s="207">
        <f t="shared" si="53"/>
        <v>0.33</v>
      </c>
      <c r="H278" s="208">
        <f t="shared" si="59"/>
        <v>78.787878787878782</v>
      </c>
      <c r="I278" s="209">
        <f t="shared" si="57"/>
        <v>261</v>
      </c>
      <c r="J278" s="270">
        <f t="shared" si="58"/>
        <v>17</v>
      </c>
      <c r="K278" s="210">
        <v>9</v>
      </c>
      <c r="L278" s="271"/>
      <c r="N278" s="248"/>
      <c r="O278" s="247">
        <v>0.26400000000000001</v>
      </c>
      <c r="P278" s="249">
        <f>IF(O278&lt;&gt;"",MROUND(O278*64,Param_DSC!$C$60),"")</f>
        <v>17</v>
      </c>
      <c r="Q278" s="249">
        <f t="shared" si="56"/>
        <v>6.7055999999999996</v>
      </c>
      <c r="R278" s="249">
        <f t="shared" si="55"/>
        <v>0</v>
      </c>
      <c r="S278" s="247"/>
      <c r="T278" s="280"/>
      <c r="U278" s="247"/>
    </row>
    <row r="279" spans="1:21" x14ac:dyDescent="0.2">
      <c r="A279" s="203" t="s">
        <v>125</v>
      </c>
      <c r="B279" s="204"/>
      <c r="C279" s="204"/>
      <c r="D279" s="204"/>
      <c r="E279" s="211" t="s">
        <v>519</v>
      </c>
      <c r="F279" s="206">
        <v>0.5</v>
      </c>
      <c r="G279" s="207">
        <f t="shared" si="53"/>
        <v>0.41249999999999998</v>
      </c>
      <c r="H279" s="208">
        <f t="shared" si="59"/>
        <v>63.030303030303031</v>
      </c>
      <c r="I279" s="209">
        <f t="shared" si="57"/>
        <v>234.89999999999998</v>
      </c>
      <c r="J279" s="270">
        <f t="shared" si="58"/>
        <v>17</v>
      </c>
      <c r="K279" s="210">
        <v>8.1</v>
      </c>
      <c r="L279" s="271"/>
      <c r="N279" s="248"/>
      <c r="O279" s="247">
        <v>0.25800000000000001</v>
      </c>
      <c r="P279" s="249">
        <f>IF(O279&lt;&gt;"",MROUND(O279*64,Param_DSC!$C$60),"")</f>
        <v>16.5</v>
      </c>
      <c r="Q279" s="249">
        <f t="shared" si="56"/>
        <v>6.5531999999999995</v>
      </c>
      <c r="R279" s="249">
        <f t="shared" si="55"/>
        <v>0</v>
      </c>
      <c r="S279" s="247"/>
      <c r="T279" s="280"/>
      <c r="U279" s="247"/>
    </row>
    <row r="280" spans="1:21" x14ac:dyDescent="0.2">
      <c r="A280" s="203" t="s">
        <v>125</v>
      </c>
      <c r="B280" s="204"/>
      <c r="C280" s="204"/>
      <c r="D280" s="204"/>
      <c r="E280" s="211" t="s">
        <v>520</v>
      </c>
      <c r="F280" s="206">
        <v>0.3</v>
      </c>
      <c r="G280" s="207">
        <f t="shared" si="53"/>
        <v>0.24749999999999997</v>
      </c>
      <c r="H280" s="208">
        <f t="shared" si="59"/>
        <v>105.05050505050507</v>
      </c>
      <c r="I280" s="209">
        <f t="shared" si="57"/>
        <v>348</v>
      </c>
      <c r="J280" s="270">
        <f t="shared" si="58"/>
        <v>18</v>
      </c>
      <c r="K280" s="210">
        <v>12</v>
      </c>
      <c r="L280" s="271"/>
      <c r="N280" s="248"/>
      <c r="O280" s="247">
        <v>0.27300000000000002</v>
      </c>
      <c r="P280" s="249">
        <f>IF(O280&lt;&gt;"",MROUND(O280*64,Param_DSC!$C$60),"")</f>
        <v>17.5</v>
      </c>
      <c r="Q280" s="249">
        <f t="shared" si="56"/>
        <v>6.9341999999999997</v>
      </c>
      <c r="R280" s="249">
        <f t="shared" si="55"/>
        <v>0</v>
      </c>
      <c r="S280" s="247"/>
      <c r="T280" s="280"/>
      <c r="U280" s="247"/>
    </row>
    <row r="281" spans="1:21" x14ac:dyDescent="0.2">
      <c r="A281" s="203" t="s">
        <v>125</v>
      </c>
      <c r="B281" s="204"/>
      <c r="C281" s="204"/>
      <c r="D281" s="204"/>
      <c r="E281" s="211" t="s">
        <v>521</v>
      </c>
      <c r="F281" s="206">
        <v>0.34</v>
      </c>
      <c r="G281" s="207">
        <f t="shared" si="53"/>
        <v>0.28050000000000003</v>
      </c>
      <c r="H281" s="208">
        <f t="shared" si="59"/>
        <v>92.691622103386806</v>
      </c>
      <c r="I281" s="209">
        <f t="shared" si="57"/>
        <v>327.70000000000005</v>
      </c>
      <c r="J281" s="270">
        <f t="shared" si="58"/>
        <v>17</v>
      </c>
      <c r="K281" s="210">
        <v>11.3</v>
      </c>
      <c r="L281" s="271"/>
      <c r="N281" s="248"/>
      <c r="O281" s="247">
        <v>0.26900000000000002</v>
      </c>
      <c r="P281" s="249">
        <f>IF(O281&lt;&gt;"",MROUND(O281*64,Param_DSC!$C$60),"")</f>
        <v>17</v>
      </c>
      <c r="Q281" s="249">
        <f t="shared" si="56"/>
        <v>6.8326000000000002</v>
      </c>
      <c r="R281" s="249">
        <f t="shared" si="55"/>
        <v>0</v>
      </c>
      <c r="S281" s="247"/>
      <c r="T281" s="280"/>
      <c r="U281" s="247"/>
    </row>
    <row r="282" spans="1:21" x14ac:dyDescent="0.2">
      <c r="A282" s="203" t="s">
        <v>125</v>
      </c>
      <c r="B282" s="204"/>
      <c r="C282" s="204"/>
      <c r="D282" s="204"/>
      <c r="E282" s="211" t="s">
        <v>522</v>
      </c>
      <c r="F282" s="206">
        <v>0.4</v>
      </c>
      <c r="G282" s="207">
        <f t="shared" si="53"/>
        <v>0.33</v>
      </c>
      <c r="H282" s="208">
        <f t="shared" si="59"/>
        <v>78.787878787878782</v>
      </c>
      <c r="I282" s="209">
        <f t="shared" si="57"/>
        <v>295.79999999999995</v>
      </c>
      <c r="J282" s="270">
        <f t="shared" si="58"/>
        <v>17</v>
      </c>
      <c r="K282" s="210">
        <v>10.199999999999999</v>
      </c>
      <c r="L282" s="271"/>
      <c r="N282" s="248"/>
      <c r="O282" s="247">
        <v>0.26300000000000001</v>
      </c>
      <c r="P282" s="249">
        <f>IF(O282&lt;&gt;"",MROUND(O282*64,Param_DSC!$C$60),"")</f>
        <v>17</v>
      </c>
      <c r="Q282" s="249">
        <f t="shared" si="56"/>
        <v>6.6802000000000001</v>
      </c>
      <c r="R282" s="249">
        <f t="shared" si="55"/>
        <v>0</v>
      </c>
      <c r="S282" s="247"/>
      <c r="T282" s="280"/>
      <c r="U282" s="247"/>
    </row>
    <row r="283" spans="1:21" x14ac:dyDescent="0.2">
      <c r="A283" s="203" t="s">
        <v>125</v>
      </c>
      <c r="B283" s="204"/>
      <c r="C283" s="204"/>
      <c r="D283" s="204"/>
      <c r="E283" s="211" t="s">
        <v>523</v>
      </c>
      <c r="F283" s="206">
        <v>0.5</v>
      </c>
      <c r="G283" s="207">
        <f t="shared" si="53"/>
        <v>0.41249999999999998</v>
      </c>
      <c r="H283" s="208">
        <f t="shared" si="59"/>
        <v>63.030303030303031</v>
      </c>
      <c r="I283" s="209">
        <f t="shared" si="57"/>
        <v>263.89999999999998</v>
      </c>
      <c r="J283" s="270">
        <f t="shared" si="58"/>
        <v>17</v>
      </c>
      <c r="K283" s="210">
        <v>9.1</v>
      </c>
      <c r="L283" s="271"/>
      <c r="N283" s="248"/>
      <c r="O283" s="247">
        <v>0.25600000000000001</v>
      </c>
      <c r="P283" s="249">
        <f>IF(O283&lt;&gt;"",MROUND(O283*64,Param_DSC!$C$60),"")</f>
        <v>16.5</v>
      </c>
      <c r="Q283" s="249">
        <f t="shared" si="56"/>
        <v>6.5023999999999997</v>
      </c>
      <c r="R283" s="249">
        <f t="shared" si="55"/>
        <v>0</v>
      </c>
      <c r="S283" s="247"/>
      <c r="T283" s="280"/>
      <c r="U283" s="247"/>
    </row>
    <row r="284" spans="1:21" x14ac:dyDescent="0.2">
      <c r="A284" s="203" t="s">
        <v>125</v>
      </c>
      <c r="B284" s="204"/>
      <c r="C284" s="204"/>
      <c r="D284" s="204"/>
      <c r="E284" s="211" t="s">
        <v>524</v>
      </c>
      <c r="F284" s="206">
        <v>0.29499999999999998</v>
      </c>
      <c r="G284" s="207">
        <f t="shared" si="53"/>
        <v>0.24337499999999998</v>
      </c>
      <c r="H284" s="208">
        <f t="shared" si="59"/>
        <v>106.83102208525938</v>
      </c>
      <c r="I284" s="209">
        <f t="shared" si="57"/>
        <v>333.5</v>
      </c>
      <c r="J284" s="270">
        <f t="shared" si="58"/>
        <v>18</v>
      </c>
      <c r="K284" s="210">
        <v>11.5</v>
      </c>
      <c r="L284" s="271"/>
      <c r="N284" s="248"/>
      <c r="O284" s="247">
        <v>0.27800000000000002</v>
      </c>
      <c r="P284" s="249">
        <f>IF(O284&lt;&gt;"",MROUND(O284*64,Param_DSC!$C$60),"")</f>
        <v>18</v>
      </c>
      <c r="Q284" s="249">
        <f t="shared" si="56"/>
        <v>7.0612000000000004</v>
      </c>
      <c r="R284" s="249">
        <f t="shared" ref="R284:R347" si="60">L284*25.4</f>
        <v>0</v>
      </c>
      <c r="S284" s="247"/>
      <c r="T284" s="280"/>
      <c r="U284" s="247"/>
    </row>
    <row r="285" spans="1:21" x14ac:dyDescent="0.2">
      <c r="A285" s="203" t="s">
        <v>125</v>
      </c>
      <c r="B285" s="204"/>
      <c r="C285" s="204"/>
      <c r="D285" s="204"/>
      <c r="E285" s="211" t="s">
        <v>525</v>
      </c>
      <c r="F285" s="206">
        <v>0.33700000000000002</v>
      </c>
      <c r="G285" s="207">
        <f t="shared" ref="G285:G348" si="61">F285*0.825</f>
        <v>0.27802500000000002</v>
      </c>
      <c r="H285" s="208">
        <f t="shared" si="59"/>
        <v>93.51677007463357</v>
      </c>
      <c r="I285" s="209">
        <f t="shared" si="57"/>
        <v>298.70000000000005</v>
      </c>
      <c r="J285" s="270">
        <f t="shared" si="58"/>
        <v>18</v>
      </c>
      <c r="K285" s="210">
        <v>10.3</v>
      </c>
      <c r="L285" s="271"/>
      <c r="N285" s="248"/>
      <c r="O285" s="247">
        <v>0.27</v>
      </c>
      <c r="P285" s="249">
        <f>IF(O285&lt;&gt;"",MROUND(O285*64,Param_DSC!$C$60),"")</f>
        <v>17.5</v>
      </c>
      <c r="Q285" s="249">
        <f t="shared" si="56"/>
        <v>6.8579999999999997</v>
      </c>
      <c r="R285" s="249">
        <f t="shared" si="60"/>
        <v>0</v>
      </c>
      <c r="S285" s="247"/>
      <c r="T285" s="280"/>
      <c r="U285" s="247"/>
    </row>
    <row r="286" spans="1:21" x14ac:dyDescent="0.2">
      <c r="A286" s="203" t="s">
        <v>125</v>
      </c>
      <c r="B286" s="204"/>
      <c r="C286" s="204"/>
      <c r="D286" s="204"/>
      <c r="E286" s="211" t="s">
        <v>526</v>
      </c>
      <c r="F286" s="206">
        <v>0.39700000000000002</v>
      </c>
      <c r="G286" s="207">
        <f t="shared" si="61"/>
        <v>0.32752500000000001</v>
      </c>
      <c r="H286" s="208">
        <f t="shared" si="59"/>
        <v>79.383253186779626</v>
      </c>
      <c r="I286" s="209">
        <f t="shared" si="57"/>
        <v>284.20000000000005</v>
      </c>
      <c r="J286" s="270">
        <f t="shared" si="58"/>
        <v>17</v>
      </c>
      <c r="K286" s="210">
        <v>9.8000000000000007</v>
      </c>
      <c r="L286" s="271"/>
      <c r="N286" s="248"/>
      <c r="O286" s="247">
        <v>0.26700000000000002</v>
      </c>
      <c r="P286" s="249">
        <f>IF(O286&lt;&gt;"",MROUND(O286*64,Param_DSC!$C$60),"")</f>
        <v>17</v>
      </c>
      <c r="Q286" s="249">
        <f t="shared" si="56"/>
        <v>6.7817999999999996</v>
      </c>
      <c r="R286" s="249">
        <f t="shared" si="60"/>
        <v>0</v>
      </c>
      <c r="S286" s="247"/>
      <c r="T286" s="280"/>
      <c r="U286" s="247"/>
    </row>
    <row r="287" spans="1:21" x14ac:dyDescent="0.2">
      <c r="A287" s="203" t="s">
        <v>125</v>
      </c>
      <c r="B287" s="204"/>
      <c r="C287" s="204"/>
      <c r="D287" s="204"/>
      <c r="E287" s="211" t="s">
        <v>527</v>
      </c>
      <c r="F287" s="206">
        <v>0.49</v>
      </c>
      <c r="G287" s="207">
        <f t="shared" si="61"/>
        <v>0.40425</v>
      </c>
      <c r="H287" s="208">
        <f t="shared" si="59"/>
        <v>64.316635745207179</v>
      </c>
      <c r="I287" s="209">
        <f t="shared" si="57"/>
        <v>258.10000000000002</v>
      </c>
      <c r="J287" s="270">
        <f t="shared" si="58"/>
        <v>17</v>
      </c>
      <c r="K287" s="210">
        <v>8.9</v>
      </c>
      <c r="L287" s="271"/>
      <c r="N287" s="248"/>
      <c r="O287" s="247">
        <v>0.26100000000000001</v>
      </c>
      <c r="P287" s="249">
        <f>IF(O287&lt;&gt;"",MROUND(O287*64,Param_DSC!$C$60),"")</f>
        <v>16.5</v>
      </c>
      <c r="Q287" s="249">
        <f t="shared" si="56"/>
        <v>6.6293999999999995</v>
      </c>
      <c r="R287" s="249">
        <f t="shared" si="60"/>
        <v>0</v>
      </c>
      <c r="S287" s="247"/>
      <c r="T287" s="280"/>
      <c r="U287" s="247"/>
    </row>
    <row r="288" spans="1:21" x14ac:dyDescent="0.2">
      <c r="A288" s="212" t="s">
        <v>125</v>
      </c>
      <c r="B288" s="213"/>
      <c r="C288" s="213"/>
      <c r="D288" s="213"/>
      <c r="E288" s="211" t="s">
        <v>157</v>
      </c>
      <c r="F288" s="206">
        <v>0.3</v>
      </c>
      <c r="G288" s="207">
        <f t="shared" si="61"/>
        <v>0.24749999999999997</v>
      </c>
      <c r="H288" s="208">
        <f t="shared" si="59"/>
        <v>105.05050505050507</v>
      </c>
      <c r="I288" s="209">
        <f t="shared" si="57"/>
        <v>333.5</v>
      </c>
      <c r="J288" s="210">
        <v>18</v>
      </c>
      <c r="K288" s="210">
        <v>11.5</v>
      </c>
      <c r="L288" s="253"/>
      <c r="N288" s="244"/>
      <c r="O288" s="245"/>
      <c r="P288" s="249" t="str">
        <f>IF(O288&lt;&gt;"",MROUND(O288*64,Param_DSC!$C$60),"")</f>
        <v/>
      </c>
      <c r="Q288" s="249" t="str">
        <f t="shared" si="56"/>
        <v/>
      </c>
      <c r="R288" s="249">
        <f t="shared" si="60"/>
        <v>0</v>
      </c>
      <c r="S288" s="247"/>
      <c r="T288" s="280"/>
      <c r="U288" s="247"/>
    </row>
    <row r="289" spans="1:21" x14ac:dyDescent="0.2">
      <c r="A289" s="212" t="s">
        <v>125</v>
      </c>
      <c r="B289" s="213"/>
      <c r="C289" s="213"/>
      <c r="D289" s="213"/>
      <c r="E289" s="211" t="s">
        <v>158</v>
      </c>
      <c r="F289" s="206">
        <v>0.34</v>
      </c>
      <c r="G289" s="207">
        <f t="shared" si="61"/>
        <v>0.28050000000000003</v>
      </c>
      <c r="H289" s="208">
        <f t="shared" si="59"/>
        <v>92.691622103386806</v>
      </c>
      <c r="I289" s="209">
        <f t="shared" si="57"/>
        <v>298.70000000000005</v>
      </c>
      <c r="J289" s="210">
        <v>18</v>
      </c>
      <c r="K289" s="210">
        <v>10.3</v>
      </c>
      <c r="L289" s="253"/>
      <c r="N289" s="244"/>
      <c r="O289" s="245"/>
      <c r="P289" s="249" t="str">
        <f>IF(O289&lt;&gt;"",MROUND(O289*64,Param_DSC!$C$60),"")</f>
        <v/>
      </c>
      <c r="Q289" s="249" t="str">
        <f t="shared" si="56"/>
        <v/>
      </c>
      <c r="R289" s="249">
        <f t="shared" si="60"/>
        <v>0</v>
      </c>
      <c r="S289" s="247"/>
      <c r="T289" s="280"/>
      <c r="U289" s="247"/>
    </row>
    <row r="290" spans="1:21" x14ac:dyDescent="0.2">
      <c r="A290" s="212" t="s">
        <v>125</v>
      </c>
      <c r="B290" s="213"/>
      <c r="C290" s="213"/>
      <c r="D290" s="213"/>
      <c r="E290" s="211" t="s">
        <v>159</v>
      </c>
      <c r="F290" s="206">
        <v>0.4</v>
      </c>
      <c r="G290" s="207">
        <f t="shared" si="61"/>
        <v>0.33</v>
      </c>
      <c r="H290" s="208">
        <f t="shared" si="59"/>
        <v>78.787878787878782</v>
      </c>
      <c r="I290" s="209">
        <f t="shared" si="57"/>
        <v>284.20000000000005</v>
      </c>
      <c r="J290" s="210">
        <v>18</v>
      </c>
      <c r="K290" s="210">
        <v>9.8000000000000007</v>
      </c>
      <c r="L290" s="253"/>
      <c r="N290" s="244"/>
      <c r="O290" s="245"/>
      <c r="P290" s="249" t="str">
        <f>IF(O290&lt;&gt;"",MROUND(O290*64,Param_DSC!$C$60),"")</f>
        <v/>
      </c>
      <c r="Q290" s="249" t="str">
        <f t="shared" si="56"/>
        <v/>
      </c>
      <c r="R290" s="249">
        <f t="shared" si="60"/>
        <v>0</v>
      </c>
      <c r="S290" s="247"/>
      <c r="T290" s="280"/>
      <c r="U290" s="247"/>
    </row>
    <row r="291" spans="1:21" x14ac:dyDescent="0.2">
      <c r="A291" s="212" t="s">
        <v>125</v>
      </c>
      <c r="B291" s="213"/>
      <c r="C291" s="213"/>
      <c r="D291" s="213"/>
      <c r="E291" s="211" t="s">
        <v>160</v>
      </c>
      <c r="F291" s="206">
        <v>0.5</v>
      </c>
      <c r="G291" s="207">
        <f t="shared" si="61"/>
        <v>0.41249999999999998</v>
      </c>
      <c r="H291" s="208">
        <f t="shared" si="59"/>
        <v>63.030303030303031</v>
      </c>
      <c r="I291" s="209">
        <f t="shared" si="57"/>
        <v>258.10000000000002</v>
      </c>
      <c r="J291" s="210">
        <v>17</v>
      </c>
      <c r="K291" s="210">
        <v>8.9</v>
      </c>
      <c r="L291" s="253"/>
      <c r="N291" s="244"/>
      <c r="O291" s="245"/>
      <c r="P291" s="249" t="str">
        <f>IF(O291&lt;&gt;"",MROUND(O291*64,Param_DSC!$C$60),"")</f>
        <v/>
      </c>
      <c r="Q291" s="249" t="str">
        <f t="shared" si="56"/>
        <v/>
      </c>
      <c r="R291" s="249">
        <f t="shared" si="60"/>
        <v>0</v>
      </c>
      <c r="S291" s="247"/>
      <c r="T291" s="280"/>
      <c r="U291" s="247"/>
    </row>
    <row r="292" spans="1:21" x14ac:dyDescent="0.2">
      <c r="A292" s="203" t="s">
        <v>125</v>
      </c>
      <c r="B292" s="204"/>
      <c r="C292" s="204"/>
      <c r="D292" s="204"/>
      <c r="E292" s="211" t="s">
        <v>528</v>
      </c>
      <c r="F292" s="206">
        <v>0.33700000000000002</v>
      </c>
      <c r="G292" s="207">
        <f t="shared" si="61"/>
        <v>0.27802500000000002</v>
      </c>
      <c r="H292" s="208">
        <f t="shared" si="59"/>
        <v>93.51677007463357</v>
      </c>
      <c r="I292" s="209">
        <f t="shared" si="57"/>
        <v>298.70000000000005</v>
      </c>
      <c r="J292" s="270">
        <f t="shared" ref="J292:J304" si="62">ROUND(P292,0)</f>
        <v>18</v>
      </c>
      <c r="K292" s="210">
        <v>10.3</v>
      </c>
      <c r="L292" s="271"/>
      <c r="N292" s="248"/>
      <c r="O292" s="247">
        <v>0.27</v>
      </c>
      <c r="P292" s="249">
        <f>IF(O292&lt;&gt;"",MROUND(O292*64,Param_DSC!$C$60),"")</f>
        <v>17.5</v>
      </c>
      <c r="Q292" s="249">
        <f t="shared" si="56"/>
        <v>6.8579999999999997</v>
      </c>
      <c r="R292" s="249">
        <f t="shared" si="60"/>
        <v>0</v>
      </c>
      <c r="S292" s="247"/>
      <c r="T292" s="280"/>
      <c r="U292" s="247"/>
    </row>
    <row r="293" spans="1:21" x14ac:dyDescent="0.2">
      <c r="A293" s="203" t="s">
        <v>125</v>
      </c>
      <c r="B293" s="204"/>
      <c r="C293" s="204"/>
      <c r="D293" s="204"/>
      <c r="E293" s="211" t="s">
        <v>529</v>
      </c>
      <c r="F293" s="206">
        <v>0.39700000000000002</v>
      </c>
      <c r="G293" s="207">
        <f t="shared" si="61"/>
        <v>0.32752500000000001</v>
      </c>
      <c r="H293" s="208">
        <f t="shared" si="59"/>
        <v>79.383253186779626</v>
      </c>
      <c r="I293" s="209">
        <f t="shared" si="57"/>
        <v>284.20000000000005</v>
      </c>
      <c r="J293" s="270">
        <f t="shared" si="62"/>
        <v>17</v>
      </c>
      <c r="K293" s="210">
        <v>9.8000000000000007</v>
      </c>
      <c r="L293" s="271"/>
      <c r="N293" s="248"/>
      <c r="O293" s="247">
        <v>0.26700000000000002</v>
      </c>
      <c r="P293" s="249">
        <f>IF(O293&lt;&gt;"",MROUND(O293*64,Param_DSC!$C$60),"")</f>
        <v>17</v>
      </c>
      <c r="Q293" s="249">
        <f t="shared" si="56"/>
        <v>6.7817999999999996</v>
      </c>
      <c r="R293" s="249">
        <f t="shared" si="60"/>
        <v>0</v>
      </c>
      <c r="S293" s="247"/>
      <c r="T293" s="280"/>
      <c r="U293" s="247"/>
    </row>
    <row r="294" spans="1:21" x14ac:dyDescent="0.2">
      <c r="A294" s="203" t="s">
        <v>125</v>
      </c>
      <c r="B294" s="204"/>
      <c r="C294" s="204"/>
      <c r="D294" s="204"/>
      <c r="E294" s="211" t="s">
        <v>530</v>
      </c>
      <c r="F294" s="206">
        <v>0.49</v>
      </c>
      <c r="G294" s="207">
        <f t="shared" si="61"/>
        <v>0.40425</v>
      </c>
      <c r="H294" s="208">
        <f t="shared" si="59"/>
        <v>64.316635745207179</v>
      </c>
      <c r="I294" s="209">
        <f t="shared" si="57"/>
        <v>258.10000000000002</v>
      </c>
      <c r="J294" s="270">
        <f t="shared" si="62"/>
        <v>17</v>
      </c>
      <c r="K294" s="210">
        <v>8.9</v>
      </c>
      <c r="L294" s="271"/>
      <c r="N294" s="248"/>
      <c r="O294" s="247">
        <v>0.26100000000000001</v>
      </c>
      <c r="P294" s="249">
        <f>IF(O294&lt;&gt;"",MROUND(O294*64,Param_DSC!$C$60),"")</f>
        <v>16.5</v>
      </c>
      <c r="Q294" s="249">
        <f t="shared" si="56"/>
        <v>6.6293999999999995</v>
      </c>
      <c r="R294" s="249">
        <f t="shared" si="60"/>
        <v>0</v>
      </c>
      <c r="S294" s="247"/>
      <c r="T294" s="280"/>
      <c r="U294" s="247"/>
    </row>
    <row r="295" spans="1:21" x14ac:dyDescent="0.2">
      <c r="A295" s="203" t="s">
        <v>125</v>
      </c>
      <c r="B295" s="204"/>
      <c r="C295" s="204"/>
      <c r="D295" s="204"/>
      <c r="E295" s="211" t="s">
        <v>531</v>
      </c>
      <c r="F295" s="206">
        <v>0.6</v>
      </c>
      <c r="G295" s="207">
        <f t="shared" si="61"/>
        <v>0.49499999999999994</v>
      </c>
      <c r="H295" s="208">
        <f t="shared" si="59"/>
        <v>52.525252525252533</v>
      </c>
      <c r="I295" s="209">
        <f t="shared" si="57"/>
        <v>226.2</v>
      </c>
      <c r="J295" s="270">
        <f t="shared" si="62"/>
        <v>16</v>
      </c>
      <c r="K295" s="210">
        <v>7.8</v>
      </c>
      <c r="L295" s="271"/>
      <c r="N295" s="248"/>
      <c r="O295" s="247">
        <v>0.253</v>
      </c>
      <c r="P295" s="249">
        <f>IF(O295&lt;&gt;"",MROUND(O295*64,Param_DSC!$C$60),"")</f>
        <v>16</v>
      </c>
      <c r="Q295" s="249">
        <f t="shared" si="56"/>
        <v>6.4261999999999997</v>
      </c>
      <c r="R295" s="249">
        <f t="shared" si="60"/>
        <v>0</v>
      </c>
      <c r="S295" s="247"/>
      <c r="T295" s="280"/>
      <c r="U295" s="247"/>
    </row>
    <row r="296" spans="1:21" x14ac:dyDescent="0.2">
      <c r="A296" s="203" t="s">
        <v>125</v>
      </c>
      <c r="B296" s="204"/>
      <c r="C296" s="204"/>
      <c r="D296" s="204"/>
      <c r="E296" s="211" t="s">
        <v>532</v>
      </c>
      <c r="F296" s="206">
        <v>0.33</v>
      </c>
      <c r="G296" s="207">
        <f t="shared" si="61"/>
        <v>0.27224999999999999</v>
      </c>
      <c r="H296" s="208">
        <f t="shared" si="59"/>
        <v>95.500459136822769</v>
      </c>
      <c r="I296" s="209">
        <f t="shared" si="57"/>
        <v>252.29999999999998</v>
      </c>
      <c r="J296" s="270">
        <f t="shared" si="62"/>
        <v>18</v>
      </c>
      <c r="K296" s="210">
        <v>8.6999999999999993</v>
      </c>
      <c r="L296" s="271"/>
      <c r="N296" s="248"/>
      <c r="O296" s="247">
        <v>0.28499999999999998</v>
      </c>
      <c r="P296" s="249">
        <f>IF(O296&lt;&gt;"",MROUND(O296*64,Param_DSC!$C$60),"")</f>
        <v>18</v>
      </c>
      <c r="Q296" s="249">
        <f t="shared" si="56"/>
        <v>7.238999999999999</v>
      </c>
      <c r="R296" s="249">
        <f t="shared" si="60"/>
        <v>0</v>
      </c>
      <c r="S296" s="247"/>
      <c r="T296" s="280"/>
      <c r="U296" s="247"/>
    </row>
    <row r="297" spans="1:21" x14ac:dyDescent="0.2">
      <c r="A297" s="203" t="s">
        <v>125</v>
      </c>
      <c r="B297" s="204"/>
      <c r="C297" s="204"/>
      <c r="D297" s="204"/>
      <c r="E297" s="211" t="s">
        <v>533</v>
      </c>
      <c r="F297" s="206">
        <v>0.4</v>
      </c>
      <c r="G297" s="207">
        <f t="shared" si="61"/>
        <v>0.33</v>
      </c>
      <c r="H297" s="208">
        <f t="shared" si="59"/>
        <v>78.787878787878782</v>
      </c>
      <c r="I297" s="209">
        <f t="shared" si="57"/>
        <v>223.3</v>
      </c>
      <c r="J297" s="270">
        <f t="shared" si="62"/>
        <v>18</v>
      </c>
      <c r="K297" s="210">
        <v>7.7</v>
      </c>
      <c r="L297" s="271"/>
      <c r="N297" s="248"/>
      <c r="O297" s="247">
        <v>0.28000000000000003</v>
      </c>
      <c r="P297" s="249">
        <f>IF(O297&lt;&gt;"",MROUND(O297*64,Param_DSC!$C$60),"")</f>
        <v>18</v>
      </c>
      <c r="Q297" s="249">
        <f t="shared" si="56"/>
        <v>7.1120000000000001</v>
      </c>
      <c r="R297" s="249">
        <f t="shared" si="60"/>
        <v>0</v>
      </c>
      <c r="S297" s="247"/>
      <c r="T297" s="280"/>
      <c r="U297" s="247"/>
    </row>
    <row r="298" spans="1:21" x14ac:dyDescent="0.2">
      <c r="A298" s="203" t="s">
        <v>125</v>
      </c>
      <c r="B298" s="204"/>
      <c r="C298" s="204"/>
      <c r="D298" s="204"/>
      <c r="E298" s="211" t="s">
        <v>534</v>
      </c>
      <c r="F298" s="206">
        <v>0.48</v>
      </c>
      <c r="G298" s="207">
        <f t="shared" si="61"/>
        <v>0.39599999999999996</v>
      </c>
      <c r="H298" s="208">
        <f t="shared" si="59"/>
        <v>65.656565656565661</v>
      </c>
      <c r="I298" s="209">
        <f t="shared" si="57"/>
        <v>197.2</v>
      </c>
      <c r="J298" s="270">
        <f t="shared" si="62"/>
        <v>18</v>
      </c>
      <c r="K298" s="210">
        <v>6.8</v>
      </c>
      <c r="L298" s="271"/>
      <c r="N298" s="248"/>
      <c r="O298" s="247">
        <v>0.27500000000000002</v>
      </c>
      <c r="P298" s="249">
        <f>IF(O298&lt;&gt;"",MROUND(O298*64,Param_DSC!$C$60),"")</f>
        <v>17.5</v>
      </c>
      <c r="Q298" s="249">
        <f t="shared" si="56"/>
        <v>6.9850000000000003</v>
      </c>
      <c r="R298" s="249">
        <f t="shared" si="60"/>
        <v>0</v>
      </c>
      <c r="S298" s="247"/>
      <c r="T298" s="280"/>
      <c r="U298" s="247"/>
    </row>
    <row r="299" spans="1:21" x14ac:dyDescent="0.2">
      <c r="A299" s="203" t="s">
        <v>125</v>
      </c>
      <c r="B299" s="204"/>
      <c r="C299" s="204"/>
      <c r="D299" s="204"/>
      <c r="E299" s="211" t="s">
        <v>535</v>
      </c>
      <c r="F299" s="206">
        <v>0.33</v>
      </c>
      <c r="G299" s="207">
        <f t="shared" si="61"/>
        <v>0.27224999999999999</v>
      </c>
      <c r="H299" s="208">
        <f t="shared" si="59"/>
        <v>95.500459136822769</v>
      </c>
      <c r="I299" s="209">
        <f t="shared" si="57"/>
        <v>272.60000000000002</v>
      </c>
      <c r="J299" s="270">
        <f t="shared" si="62"/>
        <v>19</v>
      </c>
      <c r="K299" s="210">
        <v>9.4</v>
      </c>
      <c r="L299" s="271"/>
      <c r="N299" s="248"/>
      <c r="O299" s="247">
        <v>0.28899999999999998</v>
      </c>
      <c r="P299" s="249">
        <f>IF(O299&lt;&gt;"",MROUND(O299*64,Param_DSC!$C$60),"")</f>
        <v>18.5</v>
      </c>
      <c r="Q299" s="249">
        <f t="shared" si="56"/>
        <v>7.3405999999999993</v>
      </c>
      <c r="R299" s="249">
        <f t="shared" si="60"/>
        <v>0</v>
      </c>
      <c r="S299" s="247"/>
      <c r="T299" s="280"/>
      <c r="U299" s="247"/>
    </row>
    <row r="300" spans="1:21" x14ac:dyDescent="0.2">
      <c r="A300" s="203" t="s">
        <v>125</v>
      </c>
      <c r="B300" s="204"/>
      <c r="C300" s="204"/>
      <c r="D300" s="204"/>
      <c r="E300" s="211" t="s">
        <v>536</v>
      </c>
      <c r="F300" s="206">
        <v>0.4</v>
      </c>
      <c r="G300" s="207">
        <f t="shared" si="61"/>
        <v>0.33</v>
      </c>
      <c r="H300" s="208">
        <f t="shared" si="59"/>
        <v>78.787878787878782</v>
      </c>
      <c r="I300" s="209">
        <f t="shared" si="57"/>
        <v>243.60000000000002</v>
      </c>
      <c r="J300" s="270">
        <f t="shared" si="62"/>
        <v>18</v>
      </c>
      <c r="K300" s="210">
        <v>8.4</v>
      </c>
      <c r="L300" s="271"/>
      <c r="N300" s="248"/>
      <c r="O300" s="247">
        <v>0.28399999999999997</v>
      </c>
      <c r="P300" s="249">
        <f>IF(O300&lt;&gt;"",MROUND(O300*64,Param_DSC!$C$60),"")</f>
        <v>18</v>
      </c>
      <c r="Q300" s="249">
        <f t="shared" si="56"/>
        <v>7.2135999999999987</v>
      </c>
      <c r="R300" s="249">
        <f t="shared" si="60"/>
        <v>0</v>
      </c>
      <c r="S300" s="247"/>
      <c r="T300" s="280"/>
      <c r="U300" s="247"/>
    </row>
    <row r="301" spans="1:21" x14ac:dyDescent="0.2">
      <c r="A301" s="203" t="s">
        <v>125</v>
      </c>
      <c r="B301" s="204"/>
      <c r="C301" s="204"/>
      <c r="D301" s="204"/>
      <c r="E301" s="211" t="s">
        <v>537</v>
      </c>
      <c r="F301" s="206">
        <v>0.48</v>
      </c>
      <c r="G301" s="207">
        <f t="shared" si="61"/>
        <v>0.39599999999999996</v>
      </c>
      <c r="H301" s="208">
        <f t="shared" si="59"/>
        <v>65.656565656565661</v>
      </c>
      <c r="I301" s="209">
        <f t="shared" si="57"/>
        <v>217.5</v>
      </c>
      <c r="J301" s="270">
        <f t="shared" si="62"/>
        <v>18</v>
      </c>
      <c r="K301" s="210">
        <v>7.5</v>
      </c>
      <c r="L301" s="271"/>
      <c r="N301" s="248"/>
      <c r="O301" s="247">
        <v>0.27900000000000003</v>
      </c>
      <c r="P301" s="249">
        <f>IF(O301&lt;&gt;"",MROUND(O301*64,Param_DSC!$C$60),"")</f>
        <v>18</v>
      </c>
      <c r="Q301" s="249">
        <f t="shared" si="56"/>
        <v>7.0866000000000007</v>
      </c>
      <c r="R301" s="249">
        <f t="shared" si="60"/>
        <v>0</v>
      </c>
      <c r="S301" s="247"/>
      <c r="T301" s="280"/>
      <c r="U301" s="247"/>
    </row>
    <row r="302" spans="1:21" x14ac:dyDescent="0.2">
      <c r="A302" s="203" t="s">
        <v>125</v>
      </c>
      <c r="B302" s="204"/>
      <c r="C302" s="204"/>
      <c r="D302" s="204"/>
      <c r="E302" s="211" t="s">
        <v>538</v>
      </c>
      <c r="F302" s="206">
        <v>0.33</v>
      </c>
      <c r="G302" s="207">
        <f t="shared" si="61"/>
        <v>0.27224999999999999</v>
      </c>
      <c r="H302" s="208">
        <f t="shared" si="59"/>
        <v>95.500459136822769</v>
      </c>
      <c r="I302" s="209">
        <f t="shared" si="57"/>
        <v>278.39999999999998</v>
      </c>
      <c r="J302" s="270">
        <f t="shared" si="62"/>
        <v>19</v>
      </c>
      <c r="K302" s="210">
        <v>9.6</v>
      </c>
      <c r="L302" s="271"/>
      <c r="N302" s="248"/>
      <c r="O302" s="247">
        <v>0.28899999999999998</v>
      </c>
      <c r="P302" s="249">
        <f>IF(O302&lt;&gt;"",MROUND(O302*64,Param_DSC!$C$60),"")</f>
        <v>18.5</v>
      </c>
      <c r="Q302" s="249">
        <f t="shared" si="56"/>
        <v>7.3405999999999993</v>
      </c>
      <c r="R302" s="249">
        <f t="shared" si="60"/>
        <v>0</v>
      </c>
      <c r="S302" s="247"/>
      <c r="T302" s="280"/>
      <c r="U302" s="247"/>
    </row>
    <row r="303" spans="1:21" x14ac:dyDescent="0.2">
      <c r="A303" s="203" t="s">
        <v>125</v>
      </c>
      <c r="B303" s="204"/>
      <c r="C303" s="204"/>
      <c r="D303" s="204"/>
      <c r="E303" s="211" t="s">
        <v>539</v>
      </c>
      <c r="F303" s="206">
        <v>0.4</v>
      </c>
      <c r="G303" s="207">
        <f t="shared" si="61"/>
        <v>0.33</v>
      </c>
      <c r="H303" s="208">
        <f t="shared" si="59"/>
        <v>78.787878787878782</v>
      </c>
      <c r="I303" s="209">
        <f t="shared" si="57"/>
        <v>246.5</v>
      </c>
      <c r="J303" s="270">
        <f t="shared" si="62"/>
        <v>18</v>
      </c>
      <c r="K303" s="210">
        <v>8.5</v>
      </c>
      <c r="L303" s="271"/>
      <c r="N303" s="248"/>
      <c r="O303" s="247">
        <v>0.28399999999999997</v>
      </c>
      <c r="P303" s="249">
        <f>IF(O303&lt;&gt;"",MROUND(O303*64,Param_DSC!$C$60),"")</f>
        <v>18</v>
      </c>
      <c r="Q303" s="249">
        <f t="shared" si="56"/>
        <v>7.2135999999999987</v>
      </c>
      <c r="R303" s="249">
        <f t="shared" si="60"/>
        <v>0</v>
      </c>
      <c r="S303" s="247"/>
      <c r="T303" s="280"/>
      <c r="U303" s="247"/>
    </row>
    <row r="304" spans="1:21" x14ac:dyDescent="0.2">
      <c r="A304" s="203" t="s">
        <v>125</v>
      </c>
      <c r="B304" s="204"/>
      <c r="C304" s="204"/>
      <c r="D304" s="204"/>
      <c r="E304" s="211" t="s">
        <v>540</v>
      </c>
      <c r="F304" s="206">
        <v>0.48</v>
      </c>
      <c r="G304" s="207">
        <f t="shared" si="61"/>
        <v>0.39599999999999996</v>
      </c>
      <c r="H304" s="208">
        <f t="shared" si="59"/>
        <v>65.656565656565661</v>
      </c>
      <c r="I304" s="209">
        <f t="shared" si="57"/>
        <v>217.5</v>
      </c>
      <c r="J304" s="270">
        <f t="shared" si="62"/>
        <v>18</v>
      </c>
      <c r="K304" s="210">
        <v>7.5</v>
      </c>
      <c r="L304" s="271"/>
      <c r="N304" s="248"/>
      <c r="O304" s="247">
        <v>0.27900000000000003</v>
      </c>
      <c r="P304" s="249">
        <f>IF(O304&lt;&gt;"",MROUND(O304*64,Param_DSC!$C$60),"")</f>
        <v>18</v>
      </c>
      <c r="Q304" s="249">
        <f t="shared" si="56"/>
        <v>7.0866000000000007</v>
      </c>
      <c r="R304" s="249">
        <f t="shared" si="60"/>
        <v>0</v>
      </c>
      <c r="S304" s="247"/>
      <c r="T304" s="280"/>
      <c r="U304" s="247"/>
    </row>
    <row r="305" spans="1:21" x14ac:dyDescent="0.2">
      <c r="A305" s="212" t="s">
        <v>125</v>
      </c>
      <c r="B305" s="213"/>
      <c r="C305" s="213"/>
      <c r="D305" s="213"/>
      <c r="E305" s="226" t="s">
        <v>126</v>
      </c>
      <c r="F305" s="215">
        <v>0.3</v>
      </c>
      <c r="G305" s="207">
        <f t="shared" si="61"/>
        <v>0.24749999999999997</v>
      </c>
      <c r="H305" s="208">
        <f t="shared" si="59"/>
        <v>105.05050505050507</v>
      </c>
      <c r="I305" s="228">
        <f>10.1*29</f>
        <v>292.89999999999998</v>
      </c>
      <c r="J305" s="230">
        <v>20</v>
      </c>
      <c r="K305" s="229">
        <f>I305/29</f>
        <v>10.1</v>
      </c>
      <c r="L305" s="202"/>
      <c r="N305" s="244"/>
      <c r="O305" s="245"/>
      <c r="P305" s="249" t="str">
        <f>IF(O305&lt;&gt;"",MROUND(O305*64,Param_DSC!$C$60),"")</f>
        <v/>
      </c>
      <c r="Q305" s="249" t="str">
        <f t="shared" si="56"/>
        <v/>
      </c>
      <c r="R305" s="249">
        <f t="shared" si="60"/>
        <v>0</v>
      </c>
      <c r="S305" s="247"/>
      <c r="T305" s="280"/>
      <c r="U305" s="247"/>
    </row>
    <row r="306" spans="1:21" x14ac:dyDescent="0.2">
      <c r="A306" s="212" t="s">
        <v>125</v>
      </c>
      <c r="B306" s="213"/>
      <c r="C306" s="213"/>
      <c r="D306" s="213"/>
      <c r="E306" s="226" t="s">
        <v>127</v>
      </c>
      <c r="F306" s="215">
        <v>0.34</v>
      </c>
      <c r="G306" s="207">
        <f t="shared" si="61"/>
        <v>0.28050000000000003</v>
      </c>
      <c r="H306" s="208">
        <f t="shared" si="59"/>
        <v>92.691622103386806</v>
      </c>
      <c r="I306" s="228">
        <f>10*29</f>
        <v>290</v>
      </c>
      <c r="J306" s="230">
        <v>20</v>
      </c>
      <c r="K306" s="229">
        <f>I306/29</f>
        <v>10</v>
      </c>
      <c r="L306" s="202"/>
      <c r="N306" s="244"/>
      <c r="O306" s="245"/>
      <c r="P306" s="249" t="str">
        <f>IF(O306&lt;&gt;"",MROUND(O306*64,Param_DSC!$C$60),"")</f>
        <v/>
      </c>
      <c r="Q306" s="249" t="str">
        <f t="shared" si="56"/>
        <v/>
      </c>
      <c r="R306" s="249">
        <f t="shared" si="60"/>
        <v>0</v>
      </c>
      <c r="S306" s="247"/>
      <c r="T306" s="280"/>
      <c r="U306" s="247"/>
    </row>
    <row r="307" spans="1:21" x14ac:dyDescent="0.2">
      <c r="A307" s="212" t="s">
        <v>125</v>
      </c>
      <c r="B307" s="213"/>
      <c r="C307" s="213"/>
      <c r="D307" s="213"/>
      <c r="E307" s="226" t="s">
        <v>128</v>
      </c>
      <c r="F307" s="215">
        <v>0.4</v>
      </c>
      <c r="G307" s="207">
        <f t="shared" si="61"/>
        <v>0.33</v>
      </c>
      <c r="H307" s="208">
        <f t="shared" si="59"/>
        <v>78.787878787878782</v>
      </c>
      <c r="I307" s="228">
        <f>9.1*29</f>
        <v>263.89999999999998</v>
      </c>
      <c r="J307" s="230">
        <v>20</v>
      </c>
      <c r="K307" s="229">
        <f>I307/29</f>
        <v>9.1</v>
      </c>
      <c r="L307" s="202"/>
      <c r="N307" s="244"/>
      <c r="O307" s="245"/>
      <c r="P307" s="249" t="str">
        <f>IF(O307&lt;&gt;"",MROUND(O307*64,Param_DSC!$C$60),"")</f>
        <v/>
      </c>
      <c r="Q307" s="249" t="str">
        <f t="shared" si="56"/>
        <v/>
      </c>
      <c r="R307" s="249">
        <f t="shared" si="60"/>
        <v>0</v>
      </c>
      <c r="S307" s="247"/>
      <c r="T307" s="280"/>
      <c r="U307" s="247"/>
    </row>
    <row r="308" spans="1:21" x14ac:dyDescent="0.2">
      <c r="A308" s="212" t="s">
        <v>125</v>
      </c>
      <c r="B308" s="213"/>
      <c r="C308" s="213"/>
      <c r="D308" s="213"/>
      <c r="E308" s="226" t="s">
        <v>129</v>
      </c>
      <c r="F308" s="215">
        <v>0.5</v>
      </c>
      <c r="G308" s="207">
        <f t="shared" si="61"/>
        <v>0.41249999999999998</v>
      </c>
      <c r="H308" s="208">
        <f t="shared" si="59"/>
        <v>63.030303030303031</v>
      </c>
      <c r="I308" s="228">
        <f>8*29</f>
        <v>232</v>
      </c>
      <c r="J308" s="230">
        <v>19</v>
      </c>
      <c r="K308" s="229">
        <f>I308/29</f>
        <v>8</v>
      </c>
      <c r="L308" s="202"/>
      <c r="N308" s="244"/>
      <c r="O308" s="245"/>
      <c r="P308" s="249" t="str">
        <f>IF(O308&lt;&gt;"",MROUND(O308*64,Param_DSC!$C$60),"")</f>
        <v/>
      </c>
      <c r="Q308" s="249" t="str">
        <f t="shared" si="56"/>
        <v/>
      </c>
      <c r="R308" s="249">
        <f t="shared" si="60"/>
        <v>0</v>
      </c>
      <c r="S308" s="247"/>
      <c r="T308" s="280"/>
      <c r="U308" s="247"/>
    </row>
    <row r="309" spans="1:21" x14ac:dyDescent="0.2">
      <c r="A309" s="203" t="s">
        <v>125</v>
      </c>
      <c r="B309" s="204"/>
      <c r="C309" s="204"/>
      <c r="D309" s="204"/>
      <c r="E309" s="211" t="s">
        <v>541</v>
      </c>
      <c r="F309" s="206">
        <v>0.3</v>
      </c>
      <c r="G309" s="207">
        <f t="shared" si="61"/>
        <v>0.24749999999999997</v>
      </c>
      <c r="H309" s="208">
        <f t="shared" si="59"/>
        <v>105.05050505050507</v>
      </c>
      <c r="I309" s="209">
        <f t="shared" ref="I309:I340" si="63">K309*29</f>
        <v>295.79999999999995</v>
      </c>
      <c r="J309" s="270">
        <f t="shared" ref="J309:J330" si="64">ROUND(P309,0)</f>
        <v>19</v>
      </c>
      <c r="K309" s="210">
        <v>10.199999999999999</v>
      </c>
      <c r="L309" s="271"/>
      <c r="N309" s="248"/>
      <c r="O309" s="247">
        <v>0.29099999999999998</v>
      </c>
      <c r="P309" s="249">
        <f>IF(O309&lt;&gt;"",MROUND(O309*64,Param_DSC!$C$60),"")</f>
        <v>18.5</v>
      </c>
      <c r="Q309" s="249">
        <f t="shared" si="56"/>
        <v>7.3913999999999991</v>
      </c>
      <c r="R309" s="249">
        <f t="shared" si="60"/>
        <v>0</v>
      </c>
      <c r="S309" s="247"/>
      <c r="T309" s="280"/>
      <c r="U309" s="247"/>
    </row>
    <row r="310" spans="1:21" x14ac:dyDescent="0.2">
      <c r="A310" s="203" t="s">
        <v>125</v>
      </c>
      <c r="B310" s="204"/>
      <c r="C310" s="204"/>
      <c r="D310" s="204"/>
      <c r="E310" s="211" t="s">
        <v>542</v>
      </c>
      <c r="F310" s="206">
        <v>0.34</v>
      </c>
      <c r="G310" s="207">
        <f t="shared" si="61"/>
        <v>0.28050000000000003</v>
      </c>
      <c r="H310" s="208">
        <f t="shared" si="59"/>
        <v>92.691622103386806</v>
      </c>
      <c r="I310" s="209">
        <f t="shared" si="63"/>
        <v>278.39999999999998</v>
      </c>
      <c r="J310" s="270">
        <f t="shared" si="64"/>
        <v>19</v>
      </c>
      <c r="K310" s="210">
        <v>9.6</v>
      </c>
      <c r="L310" s="271"/>
      <c r="N310" s="248"/>
      <c r="O310" s="247">
        <v>0.28699999999999998</v>
      </c>
      <c r="P310" s="249">
        <f>IF(O310&lt;&gt;"",MROUND(O310*64,Param_DSC!$C$60),"")</f>
        <v>18.5</v>
      </c>
      <c r="Q310" s="249">
        <f t="shared" si="56"/>
        <v>7.2897999999999987</v>
      </c>
      <c r="R310" s="249">
        <f t="shared" si="60"/>
        <v>0</v>
      </c>
      <c r="S310" s="247"/>
      <c r="T310" s="280"/>
      <c r="U310" s="247"/>
    </row>
    <row r="311" spans="1:21" x14ac:dyDescent="0.2">
      <c r="A311" s="203" t="s">
        <v>125</v>
      </c>
      <c r="B311" s="204"/>
      <c r="C311" s="204"/>
      <c r="D311" s="204"/>
      <c r="E311" s="211" t="s">
        <v>543</v>
      </c>
      <c r="F311" s="206">
        <v>0.4</v>
      </c>
      <c r="G311" s="207">
        <f t="shared" si="61"/>
        <v>0.33</v>
      </c>
      <c r="H311" s="208">
        <f t="shared" si="59"/>
        <v>78.787878787878782</v>
      </c>
      <c r="I311" s="209">
        <f t="shared" si="63"/>
        <v>255.20000000000002</v>
      </c>
      <c r="J311" s="270">
        <f t="shared" si="64"/>
        <v>18</v>
      </c>
      <c r="K311" s="210">
        <v>8.8000000000000007</v>
      </c>
      <c r="L311" s="271"/>
      <c r="N311" s="248"/>
      <c r="O311" s="247">
        <v>0.28299999999999997</v>
      </c>
      <c r="P311" s="249">
        <f>IF(O311&lt;&gt;"",MROUND(O311*64,Param_DSC!$C$60),"")</f>
        <v>18</v>
      </c>
      <c r="Q311" s="249">
        <f t="shared" si="56"/>
        <v>7.1881999999999993</v>
      </c>
      <c r="R311" s="249">
        <f t="shared" si="60"/>
        <v>0</v>
      </c>
      <c r="S311" s="247"/>
      <c r="T311" s="280"/>
      <c r="U311" s="247"/>
    </row>
    <row r="312" spans="1:21" x14ac:dyDescent="0.2">
      <c r="A312" s="203" t="s">
        <v>125</v>
      </c>
      <c r="B312" s="204"/>
      <c r="C312" s="204"/>
      <c r="D312" s="204"/>
      <c r="E312" s="211" t="s">
        <v>544</v>
      </c>
      <c r="F312" s="206">
        <v>0.5</v>
      </c>
      <c r="G312" s="207">
        <f t="shared" si="61"/>
        <v>0.41249999999999998</v>
      </c>
      <c r="H312" s="208">
        <f t="shared" si="59"/>
        <v>63.030303030303031</v>
      </c>
      <c r="I312" s="209">
        <f t="shared" si="63"/>
        <v>211.7</v>
      </c>
      <c r="J312" s="270">
        <f t="shared" si="64"/>
        <v>18</v>
      </c>
      <c r="K312" s="210">
        <v>7.3</v>
      </c>
      <c r="L312" s="271"/>
      <c r="N312" s="248"/>
      <c r="O312" s="247">
        <v>0.27600000000000002</v>
      </c>
      <c r="P312" s="249">
        <f>IF(O312&lt;&gt;"",MROUND(O312*64,Param_DSC!$C$60),"")</f>
        <v>17.5</v>
      </c>
      <c r="Q312" s="249">
        <f t="shared" si="56"/>
        <v>7.0104000000000006</v>
      </c>
      <c r="R312" s="249">
        <f t="shared" si="60"/>
        <v>0</v>
      </c>
      <c r="S312" s="247"/>
      <c r="T312" s="280"/>
      <c r="U312" s="247"/>
    </row>
    <row r="313" spans="1:21" x14ac:dyDescent="0.2">
      <c r="A313" s="203" t="s">
        <v>125</v>
      </c>
      <c r="B313" s="204"/>
      <c r="C313" s="204"/>
      <c r="D313" s="204"/>
      <c r="E313" s="211" t="s">
        <v>545</v>
      </c>
      <c r="F313" s="206">
        <v>0.34</v>
      </c>
      <c r="G313" s="207">
        <f t="shared" si="61"/>
        <v>0.28050000000000003</v>
      </c>
      <c r="H313" s="208">
        <f t="shared" si="59"/>
        <v>92.691622103386806</v>
      </c>
      <c r="I313" s="209">
        <f t="shared" si="63"/>
        <v>275.5</v>
      </c>
      <c r="J313" s="270">
        <f t="shared" si="64"/>
        <v>19</v>
      </c>
      <c r="K313" s="210">
        <v>9.5</v>
      </c>
      <c r="L313" s="253">
        <v>31.5</v>
      </c>
      <c r="N313" s="248"/>
      <c r="O313" s="247">
        <v>0.29099999999999998</v>
      </c>
      <c r="P313" s="249">
        <f>IF(O313&lt;&gt;"",MROUND(O313*64,Param_DSC!$C$60),"")</f>
        <v>18.5</v>
      </c>
      <c r="Q313" s="249">
        <f t="shared" si="56"/>
        <v>7.3913999999999991</v>
      </c>
      <c r="R313" s="249">
        <f t="shared" si="60"/>
        <v>800.09999999999991</v>
      </c>
      <c r="S313" s="247"/>
      <c r="T313" s="285" t="s">
        <v>144</v>
      </c>
      <c r="U313" s="247"/>
    </row>
    <row r="314" spans="1:21" x14ac:dyDescent="0.2">
      <c r="A314" s="203" t="s">
        <v>125</v>
      </c>
      <c r="B314" s="204"/>
      <c r="C314" s="204"/>
      <c r="D314" s="204"/>
      <c r="E314" s="211" t="s">
        <v>546</v>
      </c>
      <c r="F314" s="206">
        <v>0.4</v>
      </c>
      <c r="G314" s="207">
        <f t="shared" si="61"/>
        <v>0.33</v>
      </c>
      <c r="H314" s="208">
        <f t="shared" si="59"/>
        <v>78.787878787878782</v>
      </c>
      <c r="I314" s="209">
        <f t="shared" si="63"/>
        <v>249.39999999999998</v>
      </c>
      <c r="J314" s="270">
        <f t="shared" si="64"/>
        <v>19</v>
      </c>
      <c r="K314" s="210">
        <v>8.6</v>
      </c>
      <c r="L314" s="271">
        <v>31</v>
      </c>
      <c r="N314" s="248"/>
      <c r="O314" s="247">
        <v>0.28699999999999998</v>
      </c>
      <c r="P314" s="249">
        <f>IF(O314&lt;&gt;"",MROUND(O314*64,Param_DSC!$C$60),"")</f>
        <v>18.5</v>
      </c>
      <c r="Q314" s="249">
        <f t="shared" si="56"/>
        <v>7.2897999999999987</v>
      </c>
      <c r="R314" s="249">
        <f t="shared" si="60"/>
        <v>787.4</v>
      </c>
      <c r="S314" s="247"/>
      <c r="T314" s="285" t="s">
        <v>144</v>
      </c>
      <c r="U314" s="247"/>
    </row>
    <row r="315" spans="1:21" x14ac:dyDescent="0.2">
      <c r="A315" s="203" t="s">
        <v>125</v>
      </c>
      <c r="B315" s="204"/>
      <c r="C315" s="204"/>
      <c r="D315" s="204"/>
      <c r="E315" s="211" t="s">
        <v>547</v>
      </c>
      <c r="F315" s="206">
        <v>0.5</v>
      </c>
      <c r="G315" s="207">
        <f t="shared" si="61"/>
        <v>0.41249999999999998</v>
      </c>
      <c r="H315" s="208">
        <f t="shared" si="59"/>
        <v>63.030303030303031</v>
      </c>
      <c r="I315" s="209">
        <f t="shared" si="63"/>
        <v>211.7</v>
      </c>
      <c r="J315" s="270">
        <f t="shared" si="64"/>
        <v>18</v>
      </c>
      <c r="K315" s="210">
        <v>7.3</v>
      </c>
      <c r="L315" s="271">
        <v>30.75</v>
      </c>
      <c r="N315" s="248"/>
      <c r="O315" s="247">
        <v>0.28299999999999997</v>
      </c>
      <c r="P315" s="249">
        <f>IF(O315&lt;&gt;"",MROUND(O315*64,Param_DSC!$C$60),"")</f>
        <v>18</v>
      </c>
      <c r="Q315" s="249">
        <f t="shared" si="56"/>
        <v>7.1881999999999993</v>
      </c>
      <c r="R315" s="249">
        <f t="shared" si="60"/>
        <v>781.05</v>
      </c>
      <c r="S315" s="247"/>
      <c r="T315" s="285" t="s">
        <v>144</v>
      </c>
      <c r="U315" s="247"/>
    </row>
    <row r="316" spans="1:21" x14ac:dyDescent="0.2">
      <c r="A316" s="203" t="s">
        <v>125</v>
      </c>
      <c r="B316" s="204"/>
      <c r="C316" s="204"/>
      <c r="D316" s="204"/>
      <c r="E316" s="211" t="s">
        <v>548</v>
      </c>
      <c r="F316" s="206">
        <v>0.6</v>
      </c>
      <c r="G316" s="207">
        <f t="shared" si="61"/>
        <v>0.49499999999999994</v>
      </c>
      <c r="H316" s="208">
        <f t="shared" si="59"/>
        <v>52.525252525252533</v>
      </c>
      <c r="I316" s="209">
        <f t="shared" si="63"/>
        <v>185.60000000000002</v>
      </c>
      <c r="J316" s="270">
        <f t="shared" si="64"/>
        <v>18</v>
      </c>
      <c r="K316" s="210">
        <v>6.4</v>
      </c>
      <c r="L316" s="271">
        <v>30.5</v>
      </c>
      <c r="N316" s="248"/>
      <c r="O316" s="247">
        <v>0.27600000000000002</v>
      </c>
      <c r="P316" s="249">
        <f>IF(O316&lt;&gt;"",MROUND(O316*64,Param_DSC!$C$60),"")</f>
        <v>17.5</v>
      </c>
      <c r="Q316" s="249">
        <f t="shared" si="56"/>
        <v>7.0104000000000006</v>
      </c>
      <c r="R316" s="249">
        <f t="shared" si="60"/>
        <v>774.69999999999993</v>
      </c>
      <c r="S316" s="247"/>
      <c r="T316" s="285" t="s">
        <v>144</v>
      </c>
      <c r="U316" s="247"/>
    </row>
    <row r="317" spans="1:21" x14ac:dyDescent="0.2">
      <c r="A317" s="203" t="s">
        <v>125</v>
      </c>
      <c r="B317" s="204"/>
      <c r="C317" s="204"/>
      <c r="D317" s="204"/>
      <c r="E317" s="211" t="s">
        <v>549</v>
      </c>
      <c r="F317" s="206">
        <v>0.33</v>
      </c>
      <c r="G317" s="207">
        <f t="shared" si="61"/>
        <v>0.27224999999999999</v>
      </c>
      <c r="H317" s="208">
        <f t="shared" si="59"/>
        <v>95.500459136822769</v>
      </c>
      <c r="I317" s="209">
        <f t="shared" si="63"/>
        <v>292.89999999999998</v>
      </c>
      <c r="J317" s="270">
        <f t="shared" si="64"/>
        <v>16</v>
      </c>
      <c r="K317" s="210">
        <v>10.1</v>
      </c>
      <c r="L317" s="271"/>
      <c r="N317" s="248"/>
      <c r="O317" s="247">
        <v>0.24399999999999999</v>
      </c>
      <c r="P317" s="249">
        <f>IF(O317&lt;&gt;"",MROUND(O317*64,Param_DSC!$C$60),"")</f>
        <v>15.5</v>
      </c>
      <c r="Q317" s="249">
        <f t="shared" si="56"/>
        <v>6.1975999999999996</v>
      </c>
      <c r="R317" s="249">
        <f t="shared" si="60"/>
        <v>0</v>
      </c>
      <c r="S317" s="247"/>
      <c r="T317" s="280"/>
      <c r="U317" s="247"/>
    </row>
    <row r="318" spans="1:21" x14ac:dyDescent="0.2">
      <c r="A318" s="203" t="s">
        <v>125</v>
      </c>
      <c r="B318" s="204"/>
      <c r="C318" s="204"/>
      <c r="D318" s="204"/>
      <c r="E318" s="211" t="s">
        <v>550</v>
      </c>
      <c r="F318" s="206">
        <v>0.4</v>
      </c>
      <c r="G318" s="207">
        <f t="shared" si="61"/>
        <v>0.33</v>
      </c>
      <c r="H318" s="208">
        <f t="shared" si="59"/>
        <v>78.787878787878782</v>
      </c>
      <c r="I318" s="209">
        <f t="shared" si="63"/>
        <v>258.10000000000002</v>
      </c>
      <c r="J318" s="270">
        <f t="shared" si="64"/>
        <v>15</v>
      </c>
      <c r="K318" s="210">
        <v>8.9</v>
      </c>
      <c r="L318" s="271"/>
      <c r="N318" s="248"/>
      <c r="O318" s="247">
        <v>0.23599999999999999</v>
      </c>
      <c r="P318" s="249">
        <f>IF(O318&lt;&gt;"",MROUND(O318*64,Param_DSC!$C$60),"")</f>
        <v>15</v>
      </c>
      <c r="Q318" s="249">
        <f t="shared" si="56"/>
        <v>5.9943999999999997</v>
      </c>
      <c r="R318" s="249">
        <f t="shared" si="60"/>
        <v>0</v>
      </c>
      <c r="S318" s="247"/>
      <c r="T318" s="280"/>
      <c r="U318" s="247"/>
    </row>
    <row r="319" spans="1:21" x14ac:dyDescent="0.2">
      <c r="A319" s="203" t="s">
        <v>125</v>
      </c>
      <c r="B319" s="204"/>
      <c r="C319" s="204"/>
      <c r="D319" s="204"/>
      <c r="E319" s="211" t="s">
        <v>551</v>
      </c>
      <c r="F319" s="206">
        <v>0.48</v>
      </c>
      <c r="G319" s="207">
        <f t="shared" si="61"/>
        <v>0.39599999999999996</v>
      </c>
      <c r="H319" s="208">
        <f t="shared" si="59"/>
        <v>65.656565656565661</v>
      </c>
      <c r="I319" s="209">
        <f t="shared" si="63"/>
        <v>240.70000000000002</v>
      </c>
      <c r="J319" s="270">
        <f t="shared" si="64"/>
        <v>15</v>
      </c>
      <c r="K319" s="210">
        <v>8.3000000000000007</v>
      </c>
      <c r="L319" s="271"/>
      <c r="N319" s="248"/>
      <c r="O319" s="247">
        <v>0.23100000000000001</v>
      </c>
      <c r="P319" s="249">
        <f>IF(O319&lt;&gt;"",MROUND(O319*64,Param_DSC!$C$60),"")</f>
        <v>15</v>
      </c>
      <c r="Q319" s="249">
        <f t="shared" si="56"/>
        <v>5.8673999999999999</v>
      </c>
      <c r="R319" s="249">
        <f t="shared" si="60"/>
        <v>0</v>
      </c>
      <c r="S319" s="247"/>
      <c r="T319" s="280"/>
      <c r="U319" s="247"/>
    </row>
    <row r="320" spans="1:21" x14ac:dyDescent="0.2">
      <c r="A320" s="203" t="s">
        <v>125</v>
      </c>
      <c r="B320" s="204"/>
      <c r="C320" s="204"/>
      <c r="D320" s="204"/>
      <c r="E320" s="211" t="s">
        <v>552</v>
      </c>
      <c r="F320" s="206">
        <v>0.25</v>
      </c>
      <c r="G320" s="207">
        <f t="shared" si="61"/>
        <v>0.20624999999999999</v>
      </c>
      <c r="H320" s="208">
        <f t="shared" si="59"/>
        <v>126.06060606060606</v>
      </c>
      <c r="I320" s="209">
        <f t="shared" si="63"/>
        <v>513.29999999999995</v>
      </c>
      <c r="J320" s="270">
        <f t="shared" si="64"/>
        <v>19</v>
      </c>
      <c r="K320" s="210">
        <v>17.7</v>
      </c>
      <c r="L320" s="271"/>
      <c r="N320" s="248"/>
      <c r="O320" s="247">
        <v>0.28999999999999998</v>
      </c>
      <c r="P320" s="249">
        <f>IF(O320&lt;&gt;"",MROUND(O320*64,Param_DSC!$C$60),"")</f>
        <v>18.5</v>
      </c>
      <c r="Q320" s="249">
        <f t="shared" si="56"/>
        <v>7.3659999999999988</v>
      </c>
      <c r="R320" s="249">
        <f t="shared" si="60"/>
        <v>0</v>
      </c>
      <c r="S320" s="247"/>
      <c r="T320" s="280"/>
      <c r="U320" s="247"/>
    </row>
    <row r="321" spans="1:21" x14ac:dyDescent="0.2">
      <c r="A321" s="203" t="s">
        <v>125</v>
      </c>
      <c r="B321" s="204"/>
      <c r="C321" s="204"/>
      <c r="D321" s="204"/>
      <c r="E321" s="211" t="s">
        <v>553</v>
      </c>
      <c r="F321" s="206">
        <v>0.3</v>
      </c>
      <c r="G321" s="207">
        <f t="shared" si="61"/>
        <v>0.24749999999999997</v>
      </c>
      <c r="H321" s="208">
        <f t="shared" si="59"/>
        <v>105.05050505050507</v>
      </c>
      <c r="I321" s="209">
        <f t="shared" si="63"/>
        <v>464</v>
      </c>
      <c r="J321" s="270">
        <f t="shared" si="64"/>
        <v>18</v>
      </c>
      <c r="K321" s="210">
        <v>16</v>
      </c>
      <c r="L321" s="271"/>
      <c r="N321" s="248"/>
      <c r="O321" s="247">
        <v>0.28000000000000003</v>
      </c>
      <c r="P321" s="249">
        <f>IF(O321&lt;&gt;"",MROUND(O321*64,Param_DSC!$C$60),"")</f>
        <v>18</v>
      </c>
      <c r="Q321" s="249">
        <f t="shared" si="56"/>
        <v>7.1120000000000001</v>
      </c>
      <c r="R321" s="249">
        <f t="shared" si="60"/>
        <v>0</v>
      </c>
      <c r="S321" s="247"/>
      <c r="T321" s="280"/>
      <c r="U321" s="247"/>
    </row>
    <row r="322" spans="1:21" x14ac:dyDescent="0.2">
      <c r="A322" s="203" t="s">
        <v>125</v>
      </c>
      <c r="B322" s="204"/>
      <c r="C322" s="204"/>
      <c r="D322" s="204"/>
      <c r="E322" s="211" t="s">
        <v>554</v>
      </c>
      <c r="F322" s="206">
        <v>0.33400000000000002</v>
      </c>
      <c r="G322" s="207">
        <f t="shared" si="61"/>
        <v>0.27555000000000002</v>
      </c>
      <c r="H322" s="208">
        <f t="shared" si="59"/>
        <v>94.356741063327888</v>
      </c>
      <c r="I322" s="209">
        <f t="shared" si="63"/>
        <v>229.10000000000002</v>
      </c>
      <c r="J322" s="270">
        <f t="shared" si="64"/>
        <v>18</v>
      </c>
      <c r="K322" s="210">
        <v>7.9</v>
      </c>
      <c r="L322" s="271"/>
      <c r="N322" s="248"/>
      <c r="O322" s="247">
        <v>0.28000000000000003</v>
      </c>
      <c r="P322" s="249">
        <f>IF(O322&lt;&gt;"",MROUND(O322*64,Param_DSC!$C$60),"")</f>
        <v>18</v>
      </c>
      <c r="Q322" s="249">
        <f t="shared" si="56"/>
        <v>7.1120000000000001</v>
      </c>
      <c r="R322" s="249">
        <f t="shared" si="60"/>
        <v>0</v>
      </c>
      <c r="S322" s="247"/>
      <c r="T322" s="280"/>
      <c r="U322" s="247"/>
    </row>
    <row r="323" spans="1:21" x14ac:dyDescent="0.2">
      <c r="A323" s="203" t="s">
        <v>125</v>
      </c>
      <c r="B323" s="204"/>
      <c r="C323" s="204"/>
      <c r="D323" s="204"/>
      <c r="E323" s="211" t="s">
        <v>555</v>
      </c>
      <c r="F323" s="206">
        <v>0.40899999999999997</v>
      </c>
      <c r="G323" s="207">
        <f t="shared" si="61"/>
        <v>0.33742499999999997</v>
      </c>
      <c r="H323" s="208">
        <f t="shared" si="59"/>
        <v>77.054160183744543</v>
      </c>
      <c r="I323" s="209">
        <f t="shared" si="63"/>
        <v>208.8</v>
      </c>
      <c r="J323" s="270">
        <f t="shared" si="64"/>
        <v>18</v>
      </c>
      <c r="K323" s="210">
        <v>7.2</v>
      </c>
      <c r="L323" s="271"/>
      <c r="N323" s="248"/>
      <c r="O323" s="247">
        <v>0.27600000000000002</v>
      </c>
      <c r="P323" s="249">
        <f>IF(O323&lt;&gt;"",MROUND(O323*64,Param_DSC!$C$60),"")</f>
        <v>17.5</v>
      </c>
      <c r="Q323" s="249">
        <f t="shared" si="56"/>
        <v>7.0104000000000006</v>
      </c>
      <c r="R323" s="249">
        <f t="shared" si="60"/>
        <v>0</v>
      </c>
      <c r="S323" s="247"/>
      <c r="T323" s="280"/>
      <c r="U323" s="247"/>
    </row>
    <row r="324" spans="1:21" x14ac:dyDescent="0.2">
      <c r="A324" s="203" t="s">
        <v>125</v>
      </c>
      <c r="B324" s="204"/>
      <c r="C324" s="204"/>
      <c r="D324" s="204"/>
      <c r="E324" s="211" t="s">
        <v>556</v>
      </c>
      <c r="F324" s="206">
        <v>0.48499999999999999</v>
      </c>
      <c r="G324" s="207">
        <f t="shared" si="61"/>
        <v>0.40012499999999995</v>
      </c>
      <c r="H324" s="208">
        <f t="shared" si="59"/>
        <v>64.979693845673239</v>
      </c>
      <c r="I324" s="209">
        <f t="shared" si="63"/>
        <v>182.7</v>
      </c>
      <c r="J324" s="270">
        <f t="shared" si="64"/>
        <v>18</v>
      </c>
      <c r="K324" s="210">
        <v>6.3</v>
      </c>
      <c r="L324" s="271"/>
      <c r="N324" s="248"/>
      <c r="O324" s="247">
        <v>0.27100000000000002</v>
      </c>
      <c r="P324" s="249">
        <f>IF(O324&lt;&gt;"",MROUND(O324*64,Param_DSC!$C$60),"")</f>
        <v>17.5</v>
      </c>
      <c r="Q324" s="249">
        <f t="shared" si="56"/>
        <v>6.8834</v>
      </c>
      <c r="R324" s="249">
        <f t="shared" si="60"/>
        <v>0</v>
      </c>
      <c r="S324" s="247"/>
      <c r="T324" s="280"/>
      <c r="U324" s="247"/>
    </row>
    <row r="325" spans="1:21" x14ac:dyDescent="0.2">
      <c r="A325" s="203" t="s">
        <v>125</v>
      </c>
      <c r="B325" s="204"/>
      <c r="C325" s="204"/>
      <c r="D325" s="204"/>
      <c r="E325" s="211" t="s">
        <v>575</v>
      </c>
      <c r="F325" s="206">
        <v>0.34</v>
      </c>
      <c r="G325" s="207">
        <f t="shared" si="61"/>
        <v>0.28050000000000003</v>
      </c>
      <c r="H325" s="208">
        <f t="shared" si="59"/>
        <v>92.691622103386806</v>
      </c>
      <c r="I325" s="209">
        <f t="shared" si="63"/>
        <v>240.70000000000002</v>
      </c>
      <c r="J325" s="270">
        <f t="shared" si="64"/>
        <v>23</v>
      </c>
      <c r="K325" s="210">
        <v>8.3000000000000007</v>
      </c>
      <c r="L325" s="271">
        <v>33.25</v>
      </c>
      <c r="N325" s="248"/>
      <c r="O325" s="247">
        <v>0.36199999999999999</v>
      </c>
      <c r="P325" s="249">
        <f>IF(O325&lt;&gt;"",MROUND(O325*64,Param_DSC!$C$60),"")</f>
        <v>23</v>
      </c>
      <c r="Q325" s="249">
        <f t="shared" si="56"/>
        <v>9.194799999999999</v>
      </c>
      <c r="R325" s="249">
        <f t="shared" si="60"/>
        <v>844.55</v>
      </c>
      <c r="S325" s="247"/>
      <c r="T325" s="280"/>
      <c r="U325" s="247"/>
    </row>
    <row r="326" spans="1:21" x14ac:dyDescent="0.2">
      <c r="A326" s="203" t="s">
        <v>125</v>
      </c>
      <c r="B326" s="204"/>
      <c r="C326" s="204"/>
      <c r="D326" s="204"/>
      <c r="E326" s="211" t="s">
        <v>576</v>
      </c>
      <c r="F326" s="206">
        <v>0.4</v>
      </c>
      <c r="G326" s="207">
        <f t="shared" si="61"/>
        <v>0.33</v>
      </c>
      <c r="H326" s="208">
        <f t="shared" si="59"/>
        <v>78.787878787878782</v>
      </c>
      <c r="I326" s="209">
        <f t="shared" si="63"/>
        <v>226.2</v>
      </c>
      <c r="J326" s="270">
        <f t="shared" si="64"/>
        <v>23</v>
      </c>
      <c r="K326" s="210">
        <v>7.8</v>
      </c>
      <c r="L326" s="271">
        <v>32</v>
      </c>
      <c r="N326" s="248"/>
      <c r="O326" s="247">
        <v>0.36199999999999999</v>
      </c>
      <c r="P326" s="249">
        <f>IF(O326&lt;&gt;"",MROUND(O326*64,Param_DSC!$C$60),"")</f>
        <v>23</v>
      </c>
      <c r="Q326" s="249">
        <f t="shared" si="56"/>
        <v>9.194799999999999</v>
      </c>
      <c r="R326" s="249">
        <f t="shared" si="60"/>
        <v>812.8</v>
      </c>
      <c r="S326" s="247"/>
      <c r="T326" s="280"/>
      <c r="U326" s="247"/>
    </row>
    <row r="327" spans="1:21" x14ac:dyDescent="0.2">
      <c r="A327" s="203" t="s">
        <v>125</v>
      </c>
      <c r="B327" s="204"/>
      <c r="C327" s="204"/>
      <c r="D327" s="204"/>
      <c r="E327" s="211" t="s">
        <v>577</v>
      </c>
      <c r="F327" s="206">
        <v>0.5</v>
      </c>
      <c r="G327" s="207">
        <f t="shared" si="61"/>
        <v>0.41249999999999998</v>
      </c>
      <c r="H327" s="208">
        <f t="shared" si="59"/>
        <v>63.030303030303031</v>
      </c>
      <c r="I327" s="209">
        <f t="shared" si="63"/>
        <v>205.89999999999998</v>
      </c>
      <c r="J327" s="270">
        <f t="shared" si="64"/>
        <v>23</v>
      </c>
      <c r="K327" s="210">
        <v>7.1</v>
      </c>
      <c r="L327" s="271">
        <v>31.5</v>
      </c>
      <c r="N327" s="248"/>
      <c r="O327" s="247">
        <v>0.36199999999999999</v>
      </c>
      <c r="P327" s="249">
        <f>IF(O327&lt;&gt;"",MROUND(O327*64,Param_DSC!$C$60),"")</f>
        <v>23</v>
      </c>
      <c r="Q327" s="249">
        <f t="shared" si="56"/>
        <v>9.194799999999999</v>
      </c>
      <c r="R327" s="249">
        <f t="shared" si="60"/>
        <v>800.09999999999991</v>
      </c>
      <c r="S327" s="247"/>
      <c r="T327" s="280"/>
      <c r="U327" s="247"/>
    </row>
    <row r="328" spans="1:21" x14ac:dyDescent="0.2">
      <c r="A328" s="203" t="s">
        <v>125</v>
      </c>
      <c r="B328" s="204"/>
      <c r="C328" s="204"/>
      <c r="D328" s="204"/>
      <c r="E328" s="211" t="s">
        <v>557</v>
      </c>
      <c r="F328" s="206">
        <v>0.34</v>
      </c>
      <c r="G328" s="207">
        <f t="shared" si="61"/>
        <v>0.28050000000000003</v>
      </c>
      <c r="H328" s="208">
        <f t="shared" si="59"/>
        <v>92.691622103386806</v>
      </c>
      <c r="I328" s="209">
        <f t="shared" si="63"/>
        <v>237.79999999999998</v>
      </c>
      <c r="J328" s="270">
        <f t="shared" si="64"/>
        <v>19</v>
      </c>
      <c r="K328" s="210">
        <v>8.1999999999999993</v>
      </c>
      <c r="L328" s="271"/>
      <c r="N328" s="248"/>
      <c r="O328" s="247">
        <v>0.29499999999999998</v>
      </c>
      <c r="P328" s="249">
        <f>IF(O328&lt;&gt;"",MROUND(O328*64,Param_DSC!$C$60),"")</f>
        <v>19</v>
      </c>
      <c r="Q328" s="249">
        <f t="shared" si="56"/>
        <v>7.4929999999999994</v>
      </c>
      <c r="R328" s="249">
        <f t="shared" si="60"/>
        <v>0</v>
      </c>
      <c r="S328" s="247"/>
      <c r="T328" s="280"/>
      <c r="U328" s="247"/>
    </row>
    <row r="329" spans="1:21" x14ac:dyDescent="0.2">
      <c r="A329" s="203" t="s">
        <v>125</v>
      </c>
      <c r="B329" s="204"/>
      <c r="C329" s="204"/>
      <c r="D329" s="204"/>
      <c r="E329" s="211" t="s">
        <v>558</v>
      </c>
      <c r="F329" s="206">
        <v>0.4</v>
      </c>
      <c r="G329" s="207">
        <f t="shared" si="61"/>
        <v>0.33</v>
      </c>
      <c r="H329" s="208">
        <f t="shared" si="59"/>
        <v>78.787878787878782</v>
      </c>
      <c r="I329" s="209">
        <f t="shared" si="63"/>
        <v>214.60000000000002</v>
      </c>
      <c r="J329" s="270">
        <f t="shared" si="64"/>
        <v>19</v>
      </c>
      <c r="K329" s="210">
        <v>7.4</v>
      </c>
      <c r="L329" s="271"/>
      <c r="N329" s="248"/>
      <c r="O329" s="247">
        <v>0.29299999999999998</v>
      </c>
      <c r="P329" s="249">
        <f>IF(O329&lt;&gt;"",MROUND(O329*64,Param_DSC!$C$60),"")</f>
        <v>19</v>
      </c>
      <c r="Q329" s="249">
        <f t="shared" si="56"/>
        <v>7.4421999999999988</v>
      </c>
      <c r="R329" s="249">
        <f t="shared" si="60"/>
        <v>0</v>
      </c>
      <c r="S329" s="247"/>
      <c r="T329" s="280"/>
      <c r="U329" s="247"/>
    </row>
    <row r="330" spans="1:21" x14ac:dyDescent="0.2">
      <c r="A330" s="203" t="s">
        <v>125</v>
      </c>
      <c r="B330" s="204"/>
      <c r="C330" s="204"/>
      <c r="D330" s="204"/>
      <c r="E330" s="211" t="s">
        <v>559</v>
      </c>
      <c r="F330" s="206">
        <v>0.5</v>
      </c>
      <c r="G330" s="207">
        <f t="shared" si="61"/>
        <v>0.41249999999999998</v>
      </c>
      <c r="H330" s="208">
        <f t="shared" si="59"/>
        <v>63.030303030303031</v>
      </c>
      <c r="I330" s="209">
        <f t="shared" si="63"/>
        <v>188.5</v>
      </c>
      <c r="J330" s="270">
        <f t="shared" si="64"/>
        <v>18</v>
      </c>
      <c r="K330" s="210">
        <v>6.5</v>
      </c>
      <c r="L330" s="271"/>
      <c r="N330" s="248"/>
      <c r="O330" s="247">
        <v>0.28499999999999998</v>
      </c>
      <c r="P330" s="249">
        <f>IF(O330&lt;&gt;"",MROUND(O330*64,Param_DSC!$C$60),"")</f>
        <v>18</v>
      </c>
      <c r="Q330" s="249">
        <f t="shared" si="56"/>
        <v>7.238999999999999</v>
      </c>
      <c r="R330" s="249">
        <f t="shared" si="60"/>
        <v>0</v>
      </c>
      <c r="S330" s="247"/>
      <c r="T330" s="280"/>
      <c r="U330" s="247"/>
    </row>
    <row r="331" spans="1:21" x14ac:dyDescent="0.2">
      <c r="A331" s="212" t="s">
        <v>125</v>
      </c>
      <c r="B331" s="213"/>
      <c r="C331" s="213"/>
      <c r="D331" s="213"/>
      <c r="E331" s="211" t="s">
        <v>149</v>
      </c>
      <c r="F331" s="206">
        <v>0.25</v>
      </c>
      <c r="G331" s="207">
        <f t="shared" si="61"/>
        <v>0.20624999999999999</v>
      </c>
      <c r="H331" s="208">
        <f t="shared" si="59"/>
        <v>126.06060606060606</v>
      </c>
      <c r="I331" s="209">
        <f t="shared" si="63"/>
        <v>498.79999999999995</v>
      </c>
      <c r="J331" s="210">
        <v>18</v>
      </c>
      <c r="K331" s="210">
        <v>17.2</v>
      </c>
      <c r="L331" s="253"/>
      <c r="N331" s="244"/>
      <c r="O331" s="245"/>
      <c r="P331" s="249" t="str">
        <f>IF(O331&lt;&gt;"",MROUND(O331*64,Param_DSC!$C$60),"")</f>
        <v/>
      </c>
      <c r="Q331" s="249" t="str">
        <f t="shared" ref="Q331:Q394" si="65">IF(O331&lt;&gt;"",O331*25.4,"")</f>
        <v/>
      </c>
      <c r="R331" s="249">
        <f t="shared" si="60"/>
        <v>0</v>
      </c>
      <c r="S331" s="247"/>
      <c r="T331" s="280"/>
      <c r="U331" s="217"/>
    </row>
    <row r="332" spans="1:21" x14ac:dyDescent="0.2">
      <c r="A332" s="212" t="s">
        <v>125</v>
      </c>
      <c r="B332" s="213"/>
      <c r="C332" s="213"/>
      <c r="D332" s="213"/>
      <c r="E332" s="211" t="s">
        <v>149</v>
      </c>
      <c r="F332" s="206">
        <v>0.25</v>
      </c>
      <c r="G332" s="207">
        <f t="shared" si="61"/>
        <v>0.20624999999999999</v>
      </c>
      <c r="H332" s="208">
        <f t="shared" si="59"/>
        <v>126.06060606060606</v>
      </c>
      <c r="I332" s="209">
        <f t="shared" si="63"/>
        <v>498.79999999999995</v>
      </c>
      <c r="J332" s="210">
        <v>18</v>
      </c>
      <c r="K332" s="210">
        <v>17.2</v>
      </c>
      <c r="L332" s="253"/>
      <c r="N332" s="244"/>
      <c r="O332" s="245"/>
      <c r="P332" s="249" t="str">
        <f>IF(O332&lt;&gt;"",MROUND(O332*64,Param_DSC!$C$60),"")</f>
        <v/>
      </c>
      <c r="Q332" s="249" t="str">
        <f t="shared" si="65"/>
        <v/>
      </c>
      <c r="R332" s="249">
        <f t="shared" si="60"/>
        <v>0</v>
      </c>
      <c r="S332" s="247"/>
      <c r="T332" s="280"/>
      <c r="U332" s="217"/>
    </row>
    <row r="333" spans="1:21" x14ac:dyDescent="0.2">
      <c r="A333" s="212" t="s">
        <v>125</v>
      </c>
      <c r="B333" s="213"/>
      <c r="C333" s="213"/>
      <c r="D333" s="213"/>
      <c r="E333" s="211" t="s">
        <v>150</v>
      </c>
      <c r="F333" s="206">
        <v>0.3</v>
      </c>
      <c r="G333" s="207">
        <f t="shared" si="61"/>
        <v>0.24749999999999997</v>
      </c>
      <c r="H333" s="208">
        <f t="shared" si="59"/>
        <v>105.05050505050507</v>
      </c>
      <c r="I333" s="209">
        <f t="shared" si="63"/>
        <v>449.5</v>
      </c>
      <c r="J333" s="210">
        <v>18</v>
      </c>
      <c r="K333" s="210">
        <v>15.5</v>
      </c>
      <c r="L333" s="253"/>
      <c r="N333" s="244"/>
      <c r="O333" s="245"/>
      <c r="P333" s="249" t="str">
        <f>IF(O333&lt;&gt;"",MROUND(O333*64,Param_DSC!$C$60),"")</f>
        <v/>
      </c>
      <c r="Q333" s="249" t="str">
        <f t="shared" si="65"/>
        <v/>
      </c>
      <c r="R333" s="249">
        <f t="shared" si="60"/>
        <v>0</v>
      </c>
      <c r="S333" s="247"/>
      <c r="T333" s="280"/>
      <c r="U333" s="217"/>
    </row>
    <row r="334" spans="1:21" x14ac:dyDescent="0.2">
      <c r="A334" s="212" t="s">
        <v>125</v>
      </c>
      <c r="B334" s="213"/>
      <c r="C334" s="213"/>
      <c r="D334" s="213"/>
      <c r="E334" s="211" t="s">
        <v>151</v>
      </c>
      <c r="F334" s="206">
        <v>0.3</v>
      </c>
      <c r="G334" s="207">
        <f t="shared" si="61"/>
        <v>0.24749999999999997</v>
      </c>
      <c r="H334" s="208">
        <f t="shared" si="59"/>
        <v>105.05050505050507</v>
      </c>
      <c r="I334" s="209">
        <f t="shared" si="63"/>
        <v>348</v>
      </c>
      <c r="J334" s="210">
        <v>18</v>
      </c>
      <c r="K334" s="210">
        <v>12</v>
      </c>
      <c r="L334" s="253"/>
      <c r="N334" s="244"/>
      <c r="O334" s="245"/>
      <c r="P334" s="249" t="str">
        <f>IF(O334&lt;&gt;"",MROUND(O334*64,Param_DSC!$C$60),"")</f>
        <v/>
      </c>
      <c r="Q334" s="249" t="str">
        <f t="shared" si="65"/>
        <v/>
      </c>
      <c r="R334" s="249">
        <f t="shared" si="60"/>
        <v>0</v>
      </c>
      <c r="S334" s="247"/>
      <c r="T334" s="280"/>
      <c r="U334" s="217"/>
    </row>
    <row r="335" spans="1:21" x14ac:dyDescent="0.2">
      <c r="A335" s="212" t="s">
        <v>125</v>
      </c>
      <c r="B335" s="213"/>
      <c r="C335" s="213"/>
      <c r="D335" s="213"/>
      <c r="E335" s="211" t="s">
        <v>152</v>
      </c>
      <c r="F335" s="206">
        <v>0.34</v>
      </c>
      <c r="G335" s="207">
        <f t="shared" si="61"/>
        <v>0.28050000000000003</v>
      </c>
      <c r="H335" s="208">
        <f t="shared" si="59"/>
        <v>92.691622103386806</v>
      </c>
      <c r="I335" s="209">
        <f t="shared" si="63"/>
        <v>327.70000000000005</v>
      </c>
      <c r="J335" s="210">
        <v>18</v>
      </c>
      <c r="K335" s="210">
        <v>11.3</v>
      </c>
      <c r="L335" s="253"/>
      <c r="N335" s="244"/>
      <c r="O335" s="245"/>
      <c r="P335" s="249" t="str">
        <f>IF(O335&lt;&gt;"",MROUND(O335*64,Param_DSC!$C$60),"")</f>
        <v/>
      </c>
      <c r="Q335" s="249" t="str">
        <f t="shared" si="65"/>
        <v/>
      </c>
      <c r="R335" s="249">
        <f t="shared" si="60"/>
        <v>0</v>
      </c>
      <c r="S335" s="247"/>
      <c r="T335" s="280"/>
      <c r="U335" s="247"/>
    </row>
    <row r="336" spans="1:21" x14ac:dyDescent="0.2">
      <c r="A336" s="212" t="s">
        <v>125</v>
      </c>
      <c r="B336" s="213"/>
      <c r="C336" s="213"/>
      <c r="D336" s="213"/>
      <c r="E336" s="211" t="s">
        <v>153</v>
      </c>
      <c r="F336" s="206">
        <v>0.4</v>
      </c>
      <c r="G336" s="207">
        <f t="shared" si="61"/>
        <v>0.33</v>
      </c>
      <c r="H336" s="208">
        <f t="shared" si="59"/>
        <v>78.787878787878782</v>
      </c>
      <c r="I336" s="209">
        <f t="shared" si="63"/>
        <v>295.79999999999995</v>
      </c>
      <c r="J336" s="210">
        <v>17</v>
      </c>
      <c r="K336" s="210">
        <v>10.199999999999999</v>
      </c>
      <c r="L336" s="253"/>
      <c r="N336" s="244"/>
      <c r="O336" s="245"/>
      <c r="P336" s="249" t="str">
        <f>IF(O336&lt;&gt;"",MROUND(O336*64,Param_DSC!$C$60),"")</f>
        <v/>
      </c>
      <c r="Q336" s="249" t="str">
        <f t="shared" si="65"/>
        <v/>
      </c>
      <c r="R336" s="249">
        <f t="shared" si="60"/>
        <v>0</v>
      </c>
      <c r="S336" s="247"/>
      <c r="T336" s="280"/>
      <c r="U336" s="247"/>
    </row>
    <row r="337" spans="1:21" x14ac:dyDescent="0.2">
      <c r="A337" s="212" t="s">
        <v>125</v>
      </c>
      <c r="B337" s="213"/>
      <c r="C337" s="213"/>
      <c r="D337" s="213"/>
      <c r="E337" s="211" t="s">
        <v>154</v>
      </c>
      <c r="F337" s="206">
        <v>0.5</v>
      </c>
      <c r="G337" s="207">
        <f t="shared" si="61"/>
        <v>0.41249999999999998</v>
      </c>
      <c r="H337" s="208">
        <f t="shared" si="59"/>
        <v>63.030303030303031</v>
      </c>
      <c r="I337" s="209">
        <f t="shared" si="63"/>
        <v>263.89999999999998</v>
      </c>
      <c r="J337" s="210">
        <v>17</v>
      </c>
      <c r="K337" s="210">
        <v>9.1</v>
      </c>
      <c r="L337" s="253"/>
      <c r="N337" s="244"/>
      <c r="O337" s="245"/>
      <c r="P337" s="249" t="str">
        <f>IF(O337&lt;&gt;"",MROUND(O337*64,Param_DSC!$C$60),"")</f>
        <v/>
      </c>
      <c r="Q337" s="249" t="str">
        <f t="shared" si="65"/>
        <v/>
      </c>
      <c r="R337" s="249">
        <f t="shared" si="60"/>
        <v>0</v>
      </c>
      <c r="S337" s="247"/>
      <c r="T337" s="280"/>
      <c r="U337" s="247"/>
    </row>
    <row r="338" spans="1:21" x14ac:dyDescent="0.2">
      <c r="A338" s="212" t="s">
        <v>125</v>
      </c>
      <c r="B338" s="213"/>
      <c r="C338" s="213"/>
      <c r="D338" s="213"/>
      <c r="E338" s="211" t="s">
        <v>155</v>
      </c>
      <c r="F338" s="206">
        <v>0.34</v>
      </c>
      <c r="G338" s="207">
        <f t="shared" si="61"/>
        <v>0.28050000000000003</v>
      </c>
      <c r="H338" s="208">
        <f t="shared" si="59"/>
        <v>92.691622103386806</v>
      </c>
      <c r="I338" s="209">
        <f t="shared" si="63"/>
        <v>327.70000000000005</v>
      </c>
      <c r="J338" s="210">
        <v>18</v>
      </c>
      <c r="K338" s="210">
        <v>11.3</v>
      </c>
      <c r="L338" s="253"/>
      <c r="N338" s="244"/>
      <c r="O338" s="245"/>
      <c r="P338" s="249" t="str">
        <f>IF(O338&lt;&gt;"",MROUND(O338*64,Param_DSC!$C$60),"")</f>
        <v/>
      </c>
      <c r="Q338" s="249" t="str">
        <f t="shared" si="65"/>
        <v/>
      </c>
      <c r="R338" s="249">
        <f t="shared" si="60"/>
        <v>0</v>
      </c>
      <c r="S338" s="247"/>
      <c r="T338" s="280"/>
      <c r="U338" s="217"/>
    </row>
    <row r="339" spans="1:21" x14ac:dyDescent="0.2">
      <c r="A339" s="212" t="s">
        <v>125</v>
      </c>
      <c r="B339" s="213"/>
      <c r="C339" s="213"/>
      <c r="D339" s="213"/>
      <c r="E339" s="211" t="s">
        <v>156</v>
      </c>
      <c r="F339" s="206">
        <v>0.4</v>
      </c>
      <c r="G339" s="207">
        <f t="shared" si="61"/>
        <v>0.33</v>
      </c>
      <c r="H339" s="208">
        <f t="shared" ref="H339:H402" si="66">26/G339</f>
        <v>78.787878787878782</v>
      </c>
      <c r="I339" s="209">
        <f t="shared" si="63"/>
        <v>295.79999999999995</v>
      </c>
      <c r="J339" s="210">
        <v>17</v>
      </c>
      <c r="K339" s="210">
        <v>10.199999999999999</v>
      </c>
      <c r="L339" s="253"/>
      <c r="N339" s="244"/>
      <c r="O339" s="245"/>
      <c r="P339" s="249" t="str">
        <f>IF(O339&lt;&gt;"",MROUND(O339*64,Param_DSC!$C$60),"")</f>
        <v/>
      </c>
      <c r="Q339" s="249" t="str">
        <f t="shared" si="65"/>
        <v/>
      </c>
      <c r="R339" s="249">
        <f t="shared" si="60"/>
        <v>0</v>
      </c>
      <c r="S339" s="247"/>
      <c r="T339" s="280"/>
      <c r="U339" s="247"/>
    </row>
    <row r="340" spans="1:21" x14ac:dyDescent="0.2">
      <c r="A340" s="203" t="s">
        <v>125</v>
      </c>
      <c r="B340" s="204"/>
      <c r="C340" s="204"/>
      <c r="D340" s="204"/>
      <c r="E340" s="211" t="s">
        <v>574</v>
      </c>
      <c r="F340" s="206">
        <v>0.27</v>
      </c>
      <c r="G340" s="207">
        <f t="shared" si="61"/>
        <v>0.22275</v>
      </c>
      <c r="H340" s="208">
        <f t="shared" si="66"/>
        <v>116.72278338945006</v>
      </c>
      <c r="I340" s="209">
        <f t="shared" si="63"/>
        <v>261</v>
      </c>
      <c r="J340" s="273">
        <v>27</v>
      </c>
      <c r="K340" s="210">
        <v>9</v>
      </c>
      <c r="L340" s="271">
        <v>32.125</v>
      </c>
      <c r="N340" s="248"/>
      <c r="O340" s="247"/>
      <c r="P340" s="249" t="str">
        <f>IF(O340&lt;&gt;"",MROUND(O340*64,Param_DSC!$C$60),"")</f>
        <v/>
      </c>
      <c r="Q340" s="249" t="str">
        <f t="shared" si="65"/>
        <v/>
      </c>
      <c r="R340" s="249">
        <f t="shared" si="60"/>
        <v>815.97499999999991</v>
      </c>
      <c r="S340" s="247"/>
      <c r="T340" s="280"/>
      <c r="U340" s="247"/>
    </row>
    <row r="341" spans="1:21" x14ac:dyDescent="0.2">
      <c r="A341" s="203" t="s">
        <v>125</v>
      </c>
      <c r="B341" s="204"/>
      <c r="C341" s="204"/>
      <c r="D341" s="204"/>
      <c r="E341" s="211" t="s">
        <v>573</v>
      </c>
      <c r="F341" s="206">
        <v>0.35</v>
      </c>
      <c r="G341" s="207">
        <f t="shared" si="61"/>
        <v>0.28874999999999995</v>
      </c>
      <c r="H341" s="208">
        <f t="shared" si="66"/>
        <v>90.043290043290057</v>
      </c>
      <c r="I341" s="209">
        <f t="shared" ref="I341:I363" si="67">K341*29</f>
        <v>243.60000000000002</v>
      </c>
      <c r="J341" s="273">
        <v>27</v>
      </c>
      <c r="K341" s="210">
        <v>8.4</v>
      </c>
      <c r="L341" s="271">
        <v>32</v>
      </c>
      <c r="N341" s="248"/>
      <c r="O341" s="247"/>
      <c r="P341" s="249" t="str">
        <f>IF(O341&lt;&gt;"",MROUND(O341*64,Param_DSC!$C$60),"")</f>
        <v/>
      </c>
      <c r="Q341" s="249" t="str">
        <f t="shared" si="65"/>
        <v/>
      </c>
      <c r="R341" s="249">
        <f t="shared" si="60"/>
        <v>812.8</v>
      </c>
      <c r="S341" s="247"/>
      <c r="T341" s="280"/>
      <c r="U341" s="247"/>
    </row>
    <row r="342" spans="1:21" x14ac:dyDescent="0.2">
      <c r="A342" s="203" t="s">
        <v>125</v>
      </c>
      <c r="B342" s="204"/>
      <c r="C342" s="204"/>
      <c r="D342" s="204"/>
      <c r="E342" s="211" t="s">
        <v>563</v>
      </c>
      <c r="F342" s="206">
        <v>0.34499999999999997</v>
      </c>
      <c r="G342" s="207">
        <f t="shared" si="61"/>
        <v>0.28462499999999996</v>
      </c>
      <c r="H342" s="208">
        <f t="shared" si="66"/>
        <v>91.348265261308754</v>
      </c>
      <c r="I342" s="209">
        <f t="shared" si="67"/>
        <v>269.70000000000005</v>
      </c>
      <c r="J342" s="270">
        <f t="shared" ref="J342:J350" si="68">ROUND(P342,0)</f>
        <v>19</v>
      </c>
      <c r="K342" s="210">
        <v>9.3000000000000007</v>
      </c>
      <c r="L342" s="271"/>
      <c r="N342" s="248"/>
      <c r="O342" s="247">
        <v>0.29799999999999999</v>
      </c>
      <c r="P342" s="249">
        <f>IF(O342&lt;&gt;"",MROUND(O342*64,Param_DSC!$C$60),"")</f>
        <v>19</v>
      </c>
      <c r="Q342" s="249">
        <f t="shared" si="65"/>
        <v>7.5691999999999995</v>
      </c>
      <c r="R342" s="249">
        <f t="shared" si="60"/>
        <v>0</v>
      </c>
      <c r="S342" s="247"/>
      <c r="T342" s="280"/>
      <c r="U342" s="247"/>
    </row>
    <row r="343" spans="1:21" x14ac:dyDescent="0.2">
      <c r="A343" s="203" t="s">
        <v>125</v>
      </c>
      <c r="B343" s="204"/>
      <c r="C343" s="204"/>
      <c r="D343" s="204"/>
      <c r="E343" s="211" t="s">
        <v>564</v>
      </c>
      <c r="F343" s="206">
        <v>0.39</v>
      </c>
      <c r="G343" s="207">
        <f t="shared" si="61"/>
        <v>0.32174999999999998</v>
      </c>
      <c r="H343" s="208">
        <f t="shared" si="66"/>
        <v>80.808080808080817</v>
      </c>
      <c r="I343" s="209">
        <f t="shared" si="67"/>
        <v>243.60000000000002</v>
      </c>
      <c r="J343" s="270">
        <f t="shared" si="68"/>
        <v>19</v>
      </c>
      <c r="K343" s="210">
        <v>8.4</v>
      </c>
      <c r="L343" s="271"/>
      <c r="N343" s="248"/>
      <c r="O343" s="247">
        <v>0.29399999999999998</v>
      </c>
      <c r="P343" s="249">
        <f>IF(O343&lt;&gt;"",MROUND(O343*64,Param_DSC!$C$60),"")</f>
        <v>19</v>
      </c>
      <c r="Q343" s="249">
        <f t="shared" si="65"/>
        <v>7.4675999999999991</v>
      </c>
      <c r="R343" s="249">
        <f t="shared" si="60"/>
        <v>0</v>
      </c>
      <c r="S343" s="247"/>
      <c r="T343" s="280"/>
      <c r="U343" s="247"/>
    </row>
    <row r="344" spans="1:21" x14ac:dyDescent="0.2">
      <c r="A344" s="203" t="s">
        <v>125</v>
      </c>
      <c r="B344" s="204"/>
      <c r="C344" s="204"/>
      <c r="D344" s="204"/>
      <c r="E344" s="211" t="s">
        <v>565</v>
      </c>
      <c r="F344" s="206">
        <v>0.48</v>
      </c>
      <c r="G344" s="207">
        <f t="shared" si="61"/>
        <v>0.39599999999999996</v>
      </c>
      <c r="H344" s="208">
        <f t="shared" si="66"/>
        <v>65.656565656565661</v>
      </c>
      <c r="I344" s="209">
        <f t="shared" si="67"/>
        <v>211.7</v>
      </c>
      <c r="J344" s="270">
        <f t="shared" si="68"/>
        <v>19</v>
      </c>
      <c r="K344" s="210">
        <v>7.3</v>
      </c>
      <c r="L344" s="271"/>
      <c r="N344" s="248"/>
      <c r="O344" s="247">
        <v>0.28699999999999998</v>
      </c>
      <c r="P344" s="249">
        <f>IF(O344&lt;&gt;"",MROUND(O344*64,Param_DSC!$C$60),"")</f>
        <v>18.5</v>
      </c>
      <c r="Q344" s="249">
        <f t="shared" si="65"/>
        <v>7.2897999999999987</v>
      </c>
      <c r="R344" s="249">
        <f t="shared" si="60"/>
        <v>0</v>
      </c>
      <c r="S344" s="247"/>
      <c r="T344" s="280"/>
      <c r="U344" s="247"/>
    </row>
    <row r="345" spans="1:21" x14ac:dyDescent="0.2">
      <c r="A345" s="203" t="s">
        <v>125</v>
      </c>
      <c r="B345" s="204"/>
      <c r="C345" s="204"/>
      <c r="D345" s="204"/>
      <c r="E345" s="211" t="s">
        <v>560</v>
      </c>
      <c r="F345" s="206">
        <v>0.34499999999999997</v>
      </c>
      <c r="G345" s="207">
        <f t="shared" si="61"/>
        <v>0.28462499999999996</v>
      </c>
      <c r="H345" s="208">
        <f t="shared" si="66"/>
        <v>91.348265261308754</v>
      </c>
      <c r="I345" s="209">
        <f t="shared" si="67"/>
        <v>269.70000000000005</v>
      </c>
      <c r="J345" s="270">
        <f t="shared" si="68"/>
        <v>19</v>
      </c>
      <c r="K345" s="210">
        <v>9.3000000000000007</v>
      </c>
      <c r="L345" s="271"/>
      <c r="N345" s="248"/>
      <c r="O345" s="247">
        <v>0.29799999999999999</v>
      </c>
      <c r="P345" s="249">
        <f>IF(O345&lt;&gt;"",MROUND(O345*64,Param_DSC!$C$60),"")</f>
        <v>19</v>
      </c>
      <c r="Q345" s="249">
        <f t="shared" si="65"/>
        <v>7.5691999999999995</v>
      </c>
      <c r="R345" s="249">
        <f t="shared" si="60"/>
        <v>0</v>
      </c>
      <c r="S345" s="247"/>
      <c r="T345" s="280"/>
      <c r="U345" s="247"/>
    </row>
    <row r="346" spans="1:21" x14ac:dyDescent="0.2">
      <c r="A346" s="203" t="s">
        <v>125</v>
      </c>
      <c r="B346" s="204"/>
      <c r="C346" s="204"/>
      <c r="D346" s="204"/>
      <c r="E346" s="211" t="s">
        <v>561</v>
      </c>
      <c r="F346" s="206">
        <v>0.39</v>
      </c>
      <c r="G346" s="207">
        <f t="shared" si="61"/>
        <v>0.32174999999999998</v>
      </c>
      <c r="H346" s="208">
        <f t="shared" si="66"/>
        <v>80.808080808080817</v>
      </c>
      <c r="I346" s="209">
        <f t="shared" si="67"/>
        <v>243.60000000000002</v>
      </c>
      <c r="J346" s="270">
        <f t="shared" si="68"/>
        <v>19</v>
      </c>
      <c r="K346" s="210">
        <v>8.4</v>
      </c>
      <c r="L346" s="271"/>
      <c r="N346" s="248"/>
      <c r="O346" s="247">
        <v>0.29399999999999998</v>
      </c>
      <c r="P346" s="249">
        <f>IF(O346&lt;&gt;"",MROUND(O346*64,Param_DSC!$C$60),"")</f>
        <v>19</v>
      </c>
      <c r="Q346" s="249">
        <f t="shared" si="65"/>
        <v>7.4675999999999991</v>
      </c>
      <c r="R346" s="249">
        <f t="shared" si="60"/>
        <v>0</v>
      </c>
      <c r="S346" s="247"/>
      <c r="T346" s="280"/>
      <c r="U346" s="247"/>
    </row>
    <row r="347" spans="1:21" x14ac:dyDescent="0.2">
      <c r="A347" s="203" t="s">
        <v>125</v>
      </c>
      <c r="B347" s="204"/>
      <c r="C347" s="204"/>
      <c r="D347" s="204"/>
      <c r="E347" s="211" t="s">
        <v>562</v>
      </c>
      <c r="F347" s="206">
        <v>0.48</v>
      </c>
      <c r="G347" s="207">
        <f t="shared" si="61"/>
        <v>0.39599999999999996</v>
      </c>
      <c r="H347" s="208">
        <f t="shared" si="66"/>
        <v>65.656565656565661</v>
      </c>
      <c r="I347" s="209">
        <f t="shared" si="67"/>
        <v>211.7</v>
      </c>
      <c r="J347" s="270">
        <f t="shared" si="68"/>
        <v>19</v>
      </c>
      <c r="K347" s="210">
        <v>7.3</v>
      </c>
      <c r="L347" s="271"/>
      <c r="N347" s="248"/>
      <c r="O347" s="247">
        <v>0.28699999999999998</v>
      </c>
      <c r="P347" s="249">
        <f>IF(O347&lt;&gt;"",MROUND(O347*64,Param_DSC!$C$60),"")</f>
        <v>18.5</v>
      </c>
      <c r="Q347" s="249">
        <f t="shared" si="65"/>
        <v>7.2897999999999987</v>
      </c>
      <c r="R347" s="249">
        <f t="shared" si="60"/>
        <v>0</v>
      </c>
      <c r="S347" s="247"/>
      <c r="T347" s="280"/>
      <c r="U347" s="247"/>
    </row>
    <row r="348" spans="1:21" x14ac:dyDescent="0.2">
      <c r="A348" s="203" t="s">
        <v>125</v>
      </c>
      <c r="B348" s="204"/>
      <c r="C348" s="204"/>
      <c r="D348" s="204"/>
      <c r="E348" s="211" t="s">
        <v>566</v>
      </c>
      <c r="F348" s="206">
        <v>0.33700000000000002</v>
      </c>
      <c r="G348" s="207">
        <f t="shared" si="61"/>
        <v>0.27802500000000002</v>
      </c>
      <c r="H348" s="208">
        <f t="shared" si="66"/>
        <v>93.51677007463357</v>
      </c>
      <c r="I348" s="209">
        <f t="shared" si="67"/>
        <v>229.10000000000002</v>
      </c>
      <c r="J348" s="270">
        <f t="shared" si="68"/>
        <v>18</v>
      </c>
      <c r="K348" s="210">
        <v>7.9</v>
      </c>
      <c r="L348" s="271"/>
      <c r="N348" s="248"/>
      <c r="O348" s="247">
        <v>0.28000000000000003</v>
      </c>
      <c r="P348" s="249">
        <f>IF(O348&lt;&gt;"",MROUND(O348*64,Param_DSC!$C$60),"")</f>
        <v>18</v>
      </c>
      <c r="Q348" s="249">
        <f t="shared" si="65"/>
        <v>7.1120000000000001</v>
      </c>
      <c r="R348" s="249">
        <f t="shared" ref="R348:R411" si="69">L348*25.4</f>
        <v>0</v>
      </c>
      <c r="S348" s="247"/>
      <c r="T348" s="280"/>
      <c r="U348" s="247"/>
    </row>
    <row r="349" spans="1:21" x14ac:dyDescent="0.2">
      <c r="A349" s="203" t="s">
        <v>125</v>
      </c>
      <c r="B349" s="204"/>
      <c r="C349" s="204"/>
      <c r="D349" s="204"/>
      <c r="E349" s="211" t="s">
        <v>567</v>
      </c>
      <c r="F349" s="206">
        <v>0.40899999999999997</v>
      </c>
      <c r="G349" s="207">
        <f t="shared" ref="G349:G412" si="70">F349*0.825</f>
        <v>0.33742499999999997</v>
      </c>
      <c r="H349" s="208">
        <f t="shared" si="66"/>
        <v>77.054160183744543</v>
      </c>
      <c r="I349" s="209">
        <f t="shared" si="67"/>
        <v>208.8</v>
      </c>
      <c r="J349" s="270">
        <f t="shared" si="68"/>
        <v>18</v>
      </c>
      <c r="K349" s="210">
        <v>7.2</v>
      </c>
      <c r="L349" s="271"/>
      <c r="N349" s="248"/>
      <c r="O349" s="247">
        <v>0.27600000000000002</v>
      </c>
      <c r="P349" s="249">
        <f>IF(O349&lt;&gt;"",MROUND(O349*64,Param_DSC!$C$60),"")</f>
        <v>17.5</v>
      </c>
      <c r="Q349" s="249">
        <f t="shared" si="65"/>
        <v>7.0104000000000006</v>
      </c>
      <c r="R349" s="249">
        <f t="shared" si="69"/>
        <v>0</v>
      </c>
      <c r="S349" s="247"/>
      <c r="T349" s="280"/>
      <c r="U349" s="247"/>
    </row>
    <row r="350" spans="1:21" x14ac:dyDescent="0.2">
      <c r="A350" s="203" t="s">
        <v>125</v>
      </c>
      <c r="B350" s="204"/>
      <c r="C350" s="204"/>
      <c r="D350" s="204"/>
      <c r="E350" s="211" t="s">
        <v>568</v>
      </c>
      <c r="F350" s="206">
        <v>0.48499999999999999</v>
      </c>
      <c r="G350" s="207">
        <f t="shared" si="70"/>
        <v>0.40012499999999995</v>
      </c>
      <c r="H350" s="208">
        <f t="shared" si="66"/>
        <v>64.979693845673239</v>
      </c>
      <c r="I350" s="209">
        <f t="shared" si="67"/>
        <v>182.7</v>
      </c>
      <c r="J350" s="270">
        <f t="shared" si="68"/>
        <v>18</v>
      </c>
      <c r="K350" s="210">
        <v>6.3</v>
      </c>
      <c r="L350" s="271"/>
      <c r="N350" s="248"/>
      <c r="O350" s="247">
        <v>0.27100000000000002</v>
      </c>
      <c r="P350" s="249">
        <f>IF(O350&lt;&gt;"",MROUND(O350*64,Param_DSC!$C$60),"")</f>
        <v>17.5</v>
      </c>
      <c r="Q350" s="249">
        <f t="shared" si="65"/>
        <v>6.8834</v>
      </c>
      <c r="R350" s="249">
        <f t="shared" si="69"/>
        <v>0</v>
      </c>
      <c r="S350" s="247"/>
      <c r="T350" s="280"/>
      <c r="U350" s="247"/>
    </row>
    <row r="351" spans="1:21" x14ac:dyDescent="0.2">
      <c r="A351" s="203" t="s">
        <v>125</v>
      </c>
      <c r="B351" s="204"/>
      <c r="C351" s="204"/>
      <c r="D351" s="204"/>
      <c r="E351" s="211" t="s">
        <v>585</v>
      </c>
      <c r="F351" s="206">
        <v>0.34</v>
      </c>
      <c r="G351" s="207">
        <f t="shared" si="70"/>
        <v>0.28050000000000003</v>
      </c>
      <c r="H351" s="208">
        <f t="shared" si="66"/>
        <v>92.691622103386806</v>
      </c>
      <c r="I351" s="209">
        <f t="shared" si="67"/>
        <v>237.79999999999998</v>
      </c>
      <c r="J351" s="270">
        <v>21</v>
      </c>
      <c r="K351" s="210">
        <v>8.1999999999999993</v>
      </c>
      <c r="L351" s="271">
        <v>32</v>
      </c>
      <c r="N351" s="248"/>
      <c r="O351" s="247"/>
      <c r="P351" s="249" t="str">
        <f>IF(O351&lt;&gt;"",MROUND(O351*64,Param_DSC!$C$60),"")</f>
        <v/>
      </c>
      <c r="Q351" s="249" t="str">
        <f t="shared" si="65"/>
        <v/>
      </c>
      <c r="R351" s="249">
        <f t="shared" si="69"/>
        <v>812.8</v>
      </c>
      <c r="S351" s="247"/>
      <c r="T351" s="280"/>
      <c r="U351" s="247"/>
    </row>
    <row r="352" spans="1:21" x14ac:dyDescent="0.2">
      <c r="A352" s="203" t="s">
        <v>125</v>
      </c>
      <c r="B352" s="204"/>
      <c r="C352" s="204"/>
      <c r="D352" s="204"/>
      <c r="E352" s="211" t="s">
        <v>581</v>
      </c>
      <c r="F352" s="206">
        <v>0.34</v>
      </c>
      <c r="G352" s="207">
        <f t="shared" si="70"/>
        <v>0.28050000000000003</v>
      </c>
      <c r="H352" s="208">
        <f t="shared" si="66"/>
        <v>92.691622103386806</v>
      </c>
      <c r="I352" s="209">
        <f t="shared" si="67"/>
        <v>237.79999999999998</v>
      </c>
      <c r="J352" s="270">
        <v>21</v>
      </c>
      <c r="K352" s="210">
        <v>8.1999999999999993</v>
      </c>
      <c r="L352" s="271">
        <v>32.5</v>
      </c>
      <c r="N352" s="248"/>
      <c r="O352" s="247"/>
      <c r="P352" s="249" t="str">
        <f>IF(O352&lt;&gt;"",MROUND(O352*64,Param_DSC!$C$60),"")</f>
        <v/>
      </c>
      <c r="Q352" s="249" t="str">
        <f t="shared" si="65"/>
        <v/>
      </c>
      <c r="R352" s="249">
        <f t="shared" si="69"/>
        <v>825.5</v>
      </c>
      <c r="S352" s="247" t="s">
        <v>584</v>
      </c>
      <c r="T352" s="280"/>
      <c r="U352" s="247"/>
    </row>
    <row r="353" spans="1:21" x14ac:dyDescent="0.2">
      <c r="A353" s="203" t="s">
        <v>125</v>
      </c>
      <c r="B353" s="204"/>
      <c r="C353" s="204"/>
      <c r="D353" s="204"/>
      <c r="E353" s="211" t="s">
        <v>582</v>
      </c>
      <c r="F353" s="206">
        <v>0.4</v>
      </c>
      <c r="G353" s="207">
        <f t="shared" si="70"/>
        <v>0.33</v>
      </c>
      <c r="H353" s="208">
        <f t="shared" si="66"/>
        <v>78.787878787878782</v>
      </c>
      <c r="I353" s="209">
        <f t="shared" si="67"/>
        <v>214.60000000000002</v>
      </c>
      <c r="J353" s="270">
        <v>21</v>
      </c>
      <c r="K353" s="210">
        <v>7.4</v>
      </c>
      <c r="L353" s="271">
        <v>32</v>
      </c>
      <c r="M353" s="289"/>
      <c r="N353" s="248"/>
      <c r="O353" s="247"/>
      <c r="P353" s="249" t="str">
        <f>IF(O353&lt;&gt;"",MROUND(O353*64,Param_DSC!$C$60),"")</f>
        <v/>
      </c>
      <c r="Q353" s="249" t="str">
        <f t="shared" si="65"/>
        <v/>
      </c>
      <c r="R353" s="249">
        <f t="shared" si="69"/>
        <v>812.8</v>
      </c>
      <c r="S353" s="247" t="s">
        <v>584</v>
      </c>
      <c r="T353" s="280"/>
      <c r="U353" s="247"/>
    </row>
    <row r="354" spans="1:21" x14ac:dyDescent="0.2">
      <c r="A354" s="203" t="s">
        <v>125</v>
      </c>
      <c r="B354" s="204"/>
      <c r="C354" s="204"/>
      <c r="D354" s="204"/>
      <c r="E354" s="211" t="s">
        <v>583</v>
      </c>
      <c r="F354" s="206">
        <v>0.5</v>
      </c>
      <c r="G354" s="207">
        <f t="shared" si="70"/>
        <v>0.41249999999999998</v>
      </c>
      <c r="H354" s="208">
        <f t="shared" si="66"/>
        <v>63.030303030303031</v>
      </c>
      <c r="I354" s="209">
        <f t="shared" si="67"/>
        <v>188.5</v>
      </c>
      <c r="J354" s="270">
        <v>21</v>
      </c>
      <c r="K354" s="210">
        <v>6.5</v>
      </c>
      <c r="L354" s="271">
        <v>31.5</v>
      </c>
      <c r="M354" s="289"/>
      <c r="N354" s="248"/>
      <c r="O354" s="247"/>
      <c r="P354" s="249" t="str">
        <f>IF(O354&lt;&gt;"",MROUND(O354*64,Param_DSC!$C$60),"")</f>
        <v/>
      </c>
      <c r="Q354" s="249" t="str">
        <f t="shared" si="65"/>
        <v/>
      </c>
      <c r="R354" s="249">
        <f t="shared" si="69"/>
        <v>800.09999999999991</v>
      </c>
      <c r="S354" s="247"/>
      <c r="T354" s="280"/>
      <c r="U354" s="247"/>
    </row>
    <row r="355" spans="1:21" x14ac:dyDescent="0.2">
      <c r="A355" s="203" t="s">
        <v>125</v>
      </c>
      <c r="B355" s="204"/>
      <c r="C355" s="204"/>
      <c r="D355" s="204"/>
      <c r="E355" s="211" t="s">
        <v>586</v>
      </c>
      <c r="F355" s="206">
        <v>0.4</v>
      </c>
      <c r="G355" s="207">
        <f t="shared" si="70"/>
        <v>0.33</v>
      </c>
      <c r="H355" s="208">
        <f t="shared" si="66"/>
        <v>78.787878787878782</v>
      </c>
      <c r="I355" s="209">
        <f t="shared" si="67"/>
        <v>214.60000000000002</v>
      </c>
      <c r="J355" s="270">
        <v>21</v>
      </c>
      <c r="K355" s="210">
        <v>7.4</v>
      </c>
      <c r="L355" s="271">
        <v>32</v>
      </c>
      <c r="M355" s="289"/>
      <c r="N355" s="248"/>
      <c r="O355" s="247"/>
      <c r="P355" s="249" t="str">
        <f>IF(O355&lt;&gt;"",MROUND(O355*64,Param_DSC!$C$60),"")</f>
        <v/>
      </c>
      <c r="Q355" s="249" t="str">
        <f t="shared" si="65"/>
        <v/>
      </c>
      <c r="R355" s="249">
        <f t="shared" si="69"/>
        <v>812.8</v>
      </c>
      <c r="S355" s="247"/>
      <c r="T355" s="280"/>
      <c r="U355" s="247"/>
    </row>
    <row r="356" spans="1:21" x14ac:dyDescent="0.2">
      <c r="A356" s="203" t="s">
        <v>125</v>
      </c>
      <c r="B356" s="204"/>
      <c r="C356" s="204"/>
      <c r="D356" s="204"/>
      <c r="E356" s="211" t="s">
        <v>587</v>
      </c>
      <c r="F356" s="206">
        <v>0.5</v>
      </c>
      <c r="G356" s="207">
        <f t="shared" si="70"/>
        <v>0.41249999999999998</v>
      </c>
      <c r="H356" s="208">
        <f t="shared" si="66"/>
        <v>63.030303030303031</v>
      </c>
      <c r="I356" s="209">
        <f t="shared" si="67"/>
        <v>188.5</v>
      </c>
      <c r="J356" s="270">
        <v>21</v>
      </c>
      <c r="K356" s="210">
        <v>6.5</v>
      </c>
      <c r="L356" s="271">
        <v>31.5</v>
      </c>
      <c r="M356" s="289"/>
      <c r="N356" s="248"/>
      <c r="O356" s="247"/>
      <c r="P356" s="249" t="str">
        <f>IF(O356&lt;&gt;"",MROUND(O356*64,Param_DSC!$C$60),"")</f>
        <v/>
      </c>
      <c r="Q356" s="249" t="str">
        <f t="shared" si="65"/>
        <v/>
      </c>
      <c r="R356" s="249">
        <f t="shared" si="69"/>
        <v>800.09999999999991</v>
      </c>
      <c r="S356" s="247"/>
      <c r="T356" s="280"/>
      <c r="U356" s="247"/>
    </row>
    <row r="357" spans="1:21" x14ac:dyDescent="0.2">
      <c r="A357" s="203" t="s">
        <v>125</v>
      </c>
      <c r="B357" s="204"/>
      <c r="C357" s="204"/>
      <c r="D357" s="204"/>
      <c r="E357" s="211" t="s">
        <v>569</v>
      </c>
      <c r="F357" s="206">
        <v>0.3</v>
      </c>
      <c r="G357" s="207">
        <f t="shared" si="70"/>
        <v>0.24749999999999997</v>
      </c>
      <c r="H357" s="208">
        <f t="shared" si="66"/>
        <v>105.05050505050507</v>
      </c>
      <c r="I357" s="209">
        <f t="shared" si="67"/>
        <v>310.29999999999995</v>
      </c>
      <c r="J357" s="270">
        <f>ROUND(P357,0)</f>
        <v>19</v>
      </c>
      <c r="K357" s="210">
        <v>10.7</v>
      </c>
      <c r="L357" s="271"/>
      <c r="M357" s="289"/>
      <c r="N357" s="248"/>
      <c r="O357" s="247">
        <v>0.29099999999999998</v>
      </c>
      <c r="P357" s="249">
        <f>IF(O357&lt;&gt;"",MROUND(O357*64,Param_DSC!$C$60),"")</f>
        <v>18.5</v>
      </c>
      <c r="Q357" s="249">
        <f t="shared" si="65"/>
        <v>7.3913999999999991</v>
      </c>
      <c r="R357" s="249">
        <f t="shared" si="69"/>
        <v>0</v>
      </c>
      <c r="S357" s="247"/>
      <c r="T357" s="280"/>
      <c r="U357" s="247"/>
    </row>
    <row r="358" spans="1:21" x14ac:dyDescent="0.2">
      <c r="A358" s="203" t="s">
        <v>125</v>
      </c>
      <c r="B358" s="204"/>
      <c r="C358" s="204"/>
      <c r="D358" s="204"/>
      <c r="E358" s="211" t="s">
        <v>570</v>
      </c>
      <c r="F358" s="206">
        <v>0.34</v>
      </c>
      <c r="G358" s="207">
        <f t="shared" si="70"/>
        <v>0.28050000000000003</v>
      </c>
      <c r="H358" s="208">
        <f t="shared" si="66"/>
        <v>92.691622103386806</v>
      </c>
      <c r="I358" s="209">
        <f t="shared" si="67"/>
        <v>292.89999999999998</v>
      </c>
      <c r="J358" s="270">
        <f>ROUND(P358,0)</f>
        <v>19</v>
      </c>
      <c r="K358" s="210">
        <v>10.1</v>
      </c>
      <c r="L358" s="271"/>
      <c r="M358" s="289"/>
      <c r="N358" s="248"/>
      <c r="O358" s="247">
        <v>0.28699999999999998</v>
      </c>
      <c r="P358" s="249">
        <f>IF(O358&lt;&gt;"",MROUND(O358*64,Param_DSC!$C$60),"")</f>
        <v>18.5</v>
      </c>
      <c r="Q358" s="249">
        <f t="shared" si="65"/>
        <v>7.2897999999999987</v>
      </c>
      <c r="R358" s="249">
        <f t="shared" si="69"/>
        <v>0</v>
      </c>
      <c r="S358" s="247"/>
      <c r="T358" s="280"/>
      <c r="U358" s="247"/>
    </row>
    <row r="359" spans="1:21" x14ac:dyDescent="0.2">
      <c r="A359" s="203" t="s">
        <v>125</v>
      </c>
      <c r="B359" s="204"/>
      <c r="C359" s="204"/>
      <c r="D359" s="204"/>
      <c r="E359" s="211" t="s">
        <v>571</v>
      </c>
      <c r="F359" s="206">
        <v>0.4</v>
      </c>
      <c r="G359" s="207">
        <f t="shared" si="70"/>
        <v>0.33</v>
      </c>
      <c r="H359" s="208">
        <f t="shared" si="66"/>
        <v>78.787878787878782</v>
      </c>
      <c r="I359" s="209">
        <f t="shared" si="67"/>
        <v>269.70000000000005</v>
      </c>
      <c r="J359" s="270">
        <f>ROUND(P359,0)</f>
        <v>18</v>
      </c>
      <c r="K359" s="210">
        <v>9.3000000000000007</v>
      </c>
      <c r="L359" s="271"/>
      <c r="N359" s="248"/>
      <c r="O359" s="247">
        <v>0.28299999999999997</v>
      </c>
      <c r="P359" s="249">
        <f>IF(O359&lt;&gt;"",MROUND(O359*64,Param_DSC!$C$60),"")</f>
        <v>18</v>
      </c>
      <c r="Q359" s="249">
        <f t="shared" si="65"/>
        <v>7.1881999999999993</v>
      </c>
      <c r="R359" s="249">
        <f t="shared" si="69"/>
        <v>0</v>
      </c>
      <c r="S359" s="247"/>
      <c r="T359" s="280"/>
      <c r="U359" s="247"/>
    </row>
    <row r="360" spans="1:21" x14ac:dyDescent="0.2">
      <c r="A360" s="203" t="s">
        <v>125</v>
      </c>
      <c r="B360" s="204"/>
      <c r="C360" s="204"/>
      <c r="D360" s="204"/>
      <c r="E360" s="211" t="s">
        <v>572</v>
      </c>
      <c r="F360" s="206">
        <v>0.5</v>
      </c>
      <c r="G360" s="207">
        <f t="shared" si="70"/>
        <v>0.41249999999999998</v>
      </c>
      <c r="H360" s="208">
        <f t="shared" si="66"/>
        <v>63.030303030303031</v>
      </c>
      <c r="I360" s="209">
        <f t="shared" si="67"/>
        <v>234.89999999999998</v>
      </c>
      <c r="J360" s="270">
        <f>ROUND(P360,0)</f>
        <v>18</v>
      </c>
      <c r="K360" s="210">
        <v>8.1</v>
      </c>
      <c r="L360" s="271"/>
      <c r="N360" s="248"/>
      <c r="O360" s="247">
        <v>0.27600000000000002</v>
      </c>
      <c r="P360" s="249">
        <f>IF(O360&lt;&gt;"",MROUND(O360*64,Param_DSC!$C$60),"")</f>
        <v>17.5</v>
      </c>
      <c r="Q360" s="249">
        <f t="shared" si="65"/>
        <v>7.0104000000000006</v>
      </c>
      <c r="R360" s="249">
        <f t="shared" si="69"/>
        <v>0</v>
      </c>
      <c r="S360" s="247"/>
      <c r="T360" s="280"/>
      <c r="U360" s="247"/>
    </row>
    <row r="361" spans="1:21" x14ac:dyDescent="0.2">
      <c r="A361" s="203" t="s">
        <v>125</v>
      </c>
      <c r="B361" s="204"/>
      <c r="C361" s="204"/>
      <c r="D361" s="204"/>
      <c r="E361" s="211" t="s">
        <v>580</v>
      </c>
      <c r="F361" s="206">
        <v>0.28999999999999998</v>
      </c>
      <c r="G361" s="207">
        <f t="shared" si="70"/>
        <v>0.23924999999999996</v>
      </c>
      <c r="H361" s="208">
        <f t="shared" si="66"/>
        <v>108.67293625914317</v>
      </c>
      <c r="I361" s="209">
        <f t="shared" si="67"/>
        <v>226.2</v>
      </c>
      <c r="J361" s="270">
        <v>25</v>
      </c>
      <c r="K361" s="210">
        <v>7.8</v>
      </c>
      <c r="L361" s="271">
        <v>32</v>
      </c>
      <c r="N361" s="248"/>
      <c r="O361" s="247"/>
      <c r="P361" s="249" t="str">
        <f>IF(O361&lt;&gt;"",MROUND(O361*64,Param_DSC!$C$60),"")</f>
        <v/>
      </c>
      <c r="Q361" s="249" t="str">
        <f t="shared" si="65"/>
        <v/>
      </c>
      <c r="R361" s="249">
        <f t="shared" si="69"/>
        <v>812.8</v>
      </c>
      <c r="S361" s="247"/>
      <c r="T361" s="280"/>
      <c r="U361" s="247"/>
    </row>
    <row r="362" spans="1:21" x14ac:dyDescent="0.2">
      <c r="A362" s="195" t="s">
        <v>130</v>
      </c>
      <c r="B362" s="196"/>
      <c r="C362" s="196"/>
      <c r="D362" s="196"/>
      <c r="E362" s="211" t="s">
        <v>345</v>
      </c>
      <c r="F362" s="206">
        <v>0.2</v>
      </c>
      <c r="G362" s="207">
        <f t="shared" si="70"/>
        <v>0.16500000000000001</v>
      </c>
      <c r="H362" s="208">
        <f t="shared" si="66"/>
        <v>157.57575757575756</v>
      </c>
      <c r="I362" s="209">
        <f t="shared" si="67"/>
        <v>246.5</v>
      </c>
      <c r="J362" s="270">
        <f>ROUND(P362,0)</f>
        <v>26</v>
      </c>
      <c r="K362" s="210">
        <v>8.5</v>
      </c>
      <c r="L362" s="271">
        <v>32</v>
      </c>
      <c r="N362" s="244">
        <v>0.36</v>
      </c>
      <c r="O362" s="245">
        <v>0.39800000000000002</v>
      </c>
      <c r="P362" s="249">
        <f>IF(O362&lt;&gt;"",MROUND(O362*64,Param_DSC!$C$60),"")</f>
        <v>25.5</v>
      </c>
      <c r="Q362" s="249">
        <f t="shared" si="65"/>
        <v>10.1092</v>
      </c>
      <c r="R362" s="249">
        <f t="shared" si="69"/>
        <v>812.8</v>
      </c>
      <c r="S362" s="259"/>
      <c r="T362" s="280"/>
      <c r="U362" s="247"/>
    </row>
    <row r="363" spans="1:21" x14ac:dyDescent="0.2">
      <c r="A363" s="195" t="s">
        <v>130</v>
      </c>
      <c r="B363" s="196"/>
      <c r="C363" s="196"/>
      <c r="D363" s="196"/>
      <c r="E363" s="211" t="s">
        <v>365</v>
      </c>
      <c r="F363" s="206">
        <v>0.48</v>
      </c>
      <c r="G363" s="207">
        <f t="shared" si="70"/>
        <v>0.39599999999999996</v>
      </c>
      <c r="H363" s="208">
        <f t="shared" si="66"/>
        <v>65.656565656565661</v>
      </c>
      <c r="I363" s="209">
        <f t="shared" si="67"/>
        <v>211.7</v>
      </c>
      <c r="J363" s="270">
        <f>ROUND(P363,0)</f>
        <v>19</v>
      </c>
      <c r="K363" s="210">
        <v>7.3</v>
      </c>
      <c r="L363" s="271">
        <v>26</v>
      </c>
      <c r="N363" s="244">
        <v>0.246</v>
      </c>
      <c r="O363" s="245">
        <v>0.29299999999999998</v>
      </c>
      <c r="P363" s="249">
        <f>IF(O363&lt;&gt;"",MROUND(O363*64,Param_DSC!$C$60),"")</f>
        <v>19</v>
      </c>
      <c r="Q363" s="249">
        <f t="shared" si="65"/>
        <v>7.4421999999999988</v>
      </c>
      <c r="R363" s="249">
        <f t="shared" si="69"/>
        <v>660.4</v>
      </c>
      <c r="S363" s="247"/>
      <c r="T363" s="280"/>
      <c r="U363" s="247"/>
    </row>
    <row r="364" spans="1:21" x14ac:dyDescent="0.2">
      <c r="A364" s="212" t="s">
        <v>130</v>
      </c>
      <c r="B364" s="213"/>
      <c r="C364" s="213"/>
      <c r="D364" s="213"/>
      <c r="E364" s="226" t="s">
        <v>131</v>
      </c>
      <c r="F364" s="215">
        <v>0.6</v>
      </c>
      <c r="G364" s="207">
        <f t="shared" si="70"/>
        <v>0.49499999999999994</v>
      </c>
      <c r="H364" s="208">
        <f t="shared" si="66"/>
        <v>52.525252525252533</v>
      </c>
      <c r="I364" s="228">
        <f>7.6*29</f>
        <v>220.39999999999998</v>
      </c>
      <c r="J364" s="230">
        <v>19</v>
      </c>
      <c r="K364" s="216">
        <f>I364/29</f>
        <v>7.6</v>
      </c>
      <c r="L364" s="202">
        <v>30</v>
      </c>
      <c r="N364" s="244"/>
      <c r="O364" s="245"/>
      <c r="P364" s="249" t="str">
        <f>IF(O364&lt;&gt;"",MROUND(O364*64,Param_DSC!$C$60),"")</f>
        <v/>
      </c>
      <c r="Q364" s="249" t="str">
        <f t="shared" si="65"/>
        <v/>
      </c>
      <c r="R364" s="249">
        <f t="shared" si="69"/>
        <v>762</v>
      </c>
      <c r="S364" s="260" t="s">
        <v>301</v>
      </c>
      <c r="T364" s="285"/>
      <c r="U364" s="247"/>
    </row>
    <row r="365" spans="1:21" x14ac:dyDescent="0.2">
      <c r="A365" s="212" t="s">
        <v>130</v>
      </c>
      <c r="B365" s="213"/>
      <c r="C365" s="213"/>
      <c r="D365" s="213"/>
      <c r="E365" s="226" t="s">
        <v>132</v>
      </c>
      <c r="F365" s="215">
        <v>0.5</v>
      </c>
      <c r="G365" s="207">
        <f t="shared" si="70"/>
        <v>0.41249999999999998</v>
      </c>
      <c r="H365" s="208">
        <f t="shared" si="66"/>
        <v>63.030303030303031</v>
      </c>
      <c r="I365" s="228">
        <f>8.6*29</f>
        <v>249.39999999999998</v>
      </c>
      <c r="J365" s="230">
        <v>20</v>
      </c>
      <c r="K365" s="216">
        <f>I365/29</f>
        <v>8.6</v>
      </c>
      <c r="L365" s="202">
        <v>30</v>
      </c>
      <c r="N365" s="244"/>
      <c r="O365" s="245"/>
      <c r="P365" s="249" t="str">
        <f>IF(O365&lt;&gt;"",MROUND(O365*64,Param_DSC!$C$60),"")</f>
        <v/>
      </c>
      <c r="Q365" s="249" t="str">
        <f t="shared" si="65"/>
        <v/>
      </c>
      <c r="R365" s="249">
        <f t="shared" si="69"/>
        <v>762</v>
      </c>
      <c r="S365" s="260" t="s">
        <v>301</v>
      </c>
      <c r="T365" s="280"/>
      <c r="U365" s="247"/>
    </row>
    <row r="366" spans="1:21" x14ac:dyDescent="0.2">
      <c r="A366" s="212" t="s">
        <v>130</v>
      </c>
      <c r="B366" s="213"/>
      <c r="C366" s="213"/>
      <c r="D366" s="213"/>
      <c r="E366" s="226" t="s">
        <v>133</v>
      </c>
      <c r="F366" s="215">
        <v>0.4</v>
      </c>
      <c r="G366" s="207">
        <f t="shared" si="70"/>
        <v>0.33</v>
      </c>
      <c r="H366" s="208">
        <f t="shared" si="66"/>
        <v>78.787878787878782</v>
      </c>
      <c r="I366" s="228">
        <f>9.3*29</f>
        <v>269.70000000000005</v>
      </c>
      <c r="J366" s="230">
        <v>20</v>
      </c>
      <c r="K366" s="216">
        <f>I366/29</f>
        <v>9.3000000000000007</v>
      </c>
      <c r="L366" s="202">
        <v>32</v>
      </c>
      <c r="N366" s="244"/>
      <c r="O366" s="245"/>
      <c r="P366" s="249" t="str">
        <f>IF(O366&lt;&gt;"",MROUND(O366*64,Param_DSC!$C$60),"")</f>
        <v/>
      </c>
      <c r="Q366" s="249" t="str">
        <f t="shared" si="65"/>
        <v/>
      </c>
      <c r="R366" s="249">
        <f t="shared" si="69"/>
        <v>812.8</v>
      </c>
      <c r="S366" s="260" t="s">
        <v>301</v>
      </c>
      <c r="T366" s="280"/>
      <c r="U366" s="247"/>
    </row>
    <row r="367" spans="1:21" x14ac:dyDescent="0.2">
      <c r="A367" s="212" t="s">
        <v>130</v>
      </c>
      <c r="B367" s="213"/>
      <c r="C367" s="213"/>
      <c r="D367" s="213"/>
      <c r="E367" s="226" t="s">
        <v>134</v>
      </c>
      <c r="F367" s="215">
        <v>0.3</v>
      </c>
      <c r="G367" s="207">
        <f t="shared" si="70"/>
        <v>0.24749999999999997</v>
      </c>
      <c r="H367" s="208">
        <f t="shared" si="66"/>
        <v>105.05050505050507</v>
      </c>
      <c r="I367" s="228">
        <f>11*29</f>
        <v>319</v>
      </c>
      <c r="J367" s="230">
        <v>20</v>
      </c>
      <c r="K367" s="216">
        <f>I367/29</f>
        <v>11</v>
      </c>
      <c r="L367" s="202">
        <v>32</v>
      </c>
      <c r="N367" s="244"/>
      <c r="O367" s="245"/>
      <c r="P367" s="249" t="str">
        <f>IF(O367&lt;&gt;"",MROUND(O367*64,Param_DSC!$C$60),"")</f>
        <v/>
      </c>
      <c r="Q367" s="249" t="str">
        <f t="shared" si="65"/>
        <v/>
      </c>
      <c r="R367" s="249">
        <f t="shared" si="69"/>
        <v>812.8</v>
      </c>
      <c r="S367" s="260" t="s">
        <v>301</v>
      </c>
      <c r="T367" s="280"/>
      <c r="U367" s="247"/>
    </row>
    <row r="368" spans="1:21" x14ac:dyDescent="0.2">
      <c r="A368" s="195" t="s">
        <v>130</v>
      </c>
      <c r="B368" s="196"/>
      <c r="C368" s="196"/>
      <c r="D368" s="196"/>
      <c r="E368" s="211" t="s">
        <v>347</v>
      </c>
      <c r="F368" s="206">
        <v>0.3</v>
      </c>
      <c r="G368" s="207">
        <f t="shared" si="70"/>
        <v>0.24749999999999997</v>
      </c>
      <c r="H368" s="208">
        <f t="shared" si="66"/>
        <v>105.05050505050507</v>
      </c>
      <c r="I368" s="209">
        <f t="shared" ref="I368:I399" si="71">K368*29</f>
        <v>316.10000000000002</v>
      </c>
      <c r="J368" s="270">
        <f t="shared" ref="J368:J399" si="72">ROUND(P368,0)</f>
        <v>20</v>
      </c>
      <c r="K368" s="210">
        <v>10.9</v>
      </c>
      <c r="L368" s="271">
        <v>32</v>
      </c>
      <c r="N368" s="244">
        <v>0.246</v>
      </c>
      <c r="O368" s="245">
        <v>0.30199999999999999</v>
      </c>
      <c r="P368" s="249">
        <f>IF(O368&lt;&gt;"",MROUND(O368*64,Param_DSC!$C$60),"")</f>
        <v>19.5</v>
      </c>
      <c r="Q368" s="249">
        <f t="shared" si="65"/>
        <v>7.670799999999999</v>
      </c>
      <c r="R368" s="249">
        <f t="shared" si="69"/>
        <v>812.8</v>
      </c>
      <c r="S368" s="247"/>
      <c r="T368" s="280"/>
      <c r="U368" s="247"/>
    </row>
    <row r="369" spans="1:21" x14ac:dyDescent="0.2">
      <c r="A369" s="195" t="s">
        <v>130</v>
      </c>
      <c r="B369" s="196"/>
      <c r="C369" s="196"/>
      <c r="D369" s="196"/>
      <c r="E369" s="211" t="s">
        <v>348</v>
      </c>
      <c r="F369" s="206">
        <v>0.3</v>
      </c>
      <c r="G369" s="207">
        <f t="shared" si="70"/>
        <v>0.24749999999999997</v>
      </c>
      <c r="H369" s="208">
        <f t="shared" si="66"/>
        <v>105.05050505050507</v>
      </c>
      <c r="I369" s="209">
        <f t="shared" si="71"/>
        <v>269.70000000000005</v>
      </c>
      <c r="J369" s="270">
        <f t="shared" si="72"/>
        <v>20</v>
      </c>
      <c r="K369" s="210">
        <v>9.3000000000000007</v>
      </c>
      <c r="L369" s="271">
        <v>32</v>
      </c>
      <c r="N369" s="244">
        <v>0.246</v>
      </c>
      <c r="O369" s="245">
        <v>0.30199999999999999</v>
      </c>
      <c r="P369" s="249">
        <f>IF(O369&lt;&gt;"",MROUND(O369*64,Param_DSC!$C$60),"")</f>
        <v>19.5</v>
      </c>
      <c r="Q369" s="249">
        <f t="shared" si="65"/>
        <v>7.670799999999999</v>
      </c>
      <c r="R369" s="249">
        <f t="shared" si="69"/>
        <v>812.8</v>
      </c>
      <c r="S369" s="247"/>
      <c r="T369" s="280"/>
      <c r="U369" s="247"/>
    </row>
    <row r="370" spans="1:21" x14ac:dyDescent="0.2">
      <c r="A370" s="195" t="s">
        <v>130</v>
      </c>
      <c r="B370" s="196"/>
      <c r="C370" s="196"/>
      <c r="D370" s="196"/>
      <c r="E370" s="211" t="s">
        <v>349</v>
      </c>
      <c r="F370" s="206">
        <v>0.34</v>
      </c>
      <c r="G370" s="207">
        <f t="shared" si="70"/>
        <v>0.28050000000000003</v>
      </c>
      <c r="H370" s="208">
        <f t="shared" si="66"/>
        <v>92.691622103386806</v>
      </c>
      <c r="I370" s="209">
        <f t="shared" si="71"/>
        <v>258.10000000000002</v>
      </c>
      <c r="J370" s="270">
        <f t="shared" si="72"/>
        <v>19</v>
      </c>
      <c r="K370" s="210">
        <v>8.9</v>
      </c>
      <c r="L370" s="271">
        <v>32</v>
      </c>
      <c r="N370" s="244">
        <v>0.246</v>
      </c>
      <c r="O370" s="245">
        <v>0.3</v>
      </c>
      <c r="P370" s="249">
        <f>IF(O370&lt;&gt;"",MROUND(O370*64,Param_DSC!$C$60),"")</f>
        <v>19</v>
      </c>
      <c r="Q370" s="249">
        <f t="shared" si="65"/>
        <v>7.6199999999999992</v>
      </c>
      <c r="R370" s="249">
        <f t="shared" si="69"/>
        <v>812.8</v>
      </c>
      <c r="S370" s="247"/>
      <c r="T370" s="280"/>
      <c r="U370" s="247"/>
    </row>
    <row r="371" spans="1:21" x14ac:dyDescent="0.2">
      <c r="A371" s="195" t="s">
        <v>130</v>
      </c>
      <c r="B371" s="196"/>
      <c r="C371" s="196"/>
      <c r="D371" s="196"/>
      <c r="E371" s="211" t="s">
        <v>351</v>
      </c>
      <c r="F371" s="206">
        <v>0.4</v>
      </c>
      <c r="G371" s="207">
        <f t="shared" si="70"/>
        <v>0.33</v>
      </c>
      <c r="H371" s="208">
        <f t="shared" si="66"/>
        <v>78.787878787878782</v>
      </c>
      <c r="I371" s="209">
        <f t="shared" si="71"/>
        <v>261</v>
      </c>
      <c r="J371" s="270">
        <f t="shared" si="72"/>
        <v>19</v>
      </c>
      <c r="K371" s="210">
        <v>9</v>
      </c>
      <c r="L371" s="271">
        <v>32</v>
      </c>
      <c r="N371" s="244">
        <v>0.246</v>
      </c>
      <c r="O371" s="245">
        <v>0.29499999999999998</v>
      </c>
      <c r="P371" s="249">
        <f>IF(O371&lt;&gt;"",MROUND(O371*64,Param_DSC!$C$60),"")</f>
        <v>19</v>
      </c>
      <c r="Q371" s="249">
        <f t="shared" si="65"/>
        <v>7.4929999999999994</v>
      </c>
      <c r="R371" s="249">
        <f t="shared" si="69"/>
        <v>812.8</v>
      </c>
      <c r="S371" s="247"/>
      <c r="T371" s="280"/>
      <c r="U371" s="247"/>
    </row>
    <row r="372" spans="1:21" x14ac:dyDescent="0.2">
      <c r="A372" s="195" t="s">
        <v>130</v>
      </c>
      <c r="B372" s="196"/>
      <c r="C372" s="196"/>
      <c r="D372" s="196"/>
      <c r="E372" s="211" t="s">
        <v>350</v>
      </c>
      <c r="F372" s="206">
        <v>0.4</v>
      </c>
      <c r="G372" s="207">
        <f t="shared" si="70"/>
        <v>0.33</v>
      </c>
      <c r="H372" s="208">
        <f t="shared" si="66"/>
        <v>78.787878787878782</v>
      </c>
      <c r="I372" s="209">
        <f t="shared" si="71"/>
        <v>237.79999999999998</v>
      </c>
      <c r="J372" s="270">
        <f t="shared" si="72"/>
        <v>19</v>
      </c>
      <c r="K372" s="210">
        <v>8.1999999999999993</v>
      </c>
      <c r="L372" s="271">
        <v>32</v>
      </c>
      <c r="N372" s="244">
        <v>0.246</v>
      </c>
      <c r="O372" s="245">
        <v>0.29499999999999998</v>
      </c>
      <c r="P372" s="249">
        <f>IF(O372&lt;&gt;"",MROUND(O372*64,Param_DSC!$C$60),"")</f>
        <v>19</v>
      </c>
      <c r="Q372" s="249">
        <f t="shared" si="65"/>
        <v>7.4929999999999994</v>
      </c>
      <c r="R372" s="249">
        <f t="shared" si="69"/>
        <v>812.8</v>
      </c>
      <c r="S372" s="247"/>
      <c r="T372" s="280"/>
      <c r="U372" s="247"/>
    </row>
    <row r="373" spans="1:21" x14ac:dyDescent="0.2">
      <c r="A373" s="195" t="s">
        <v>130</v>
      </c>
      <c r="B373" s="196"/>
      <c r="C373" s="196"/>
      <c r="D373" s="196"/>
      <c r="E373" s="211" t="s">
        <v>353</v>
      </c>
      <c r="F373" s="206">
        <v>0.5</v>
      </c>
      <c r="G373" s="207">
        <f t="shared" si="70"/>
        <v>0.41249999999999998</v>
      </c>
      <c r="H373" s="208">
        <f t="shared" si="66"/>
        <v>63.030303030303031</v>
      </c>
      <c r="I373" s="209">
        <f t="shared" si="71"/>
        <v>237.79999999999998</v>
      </c>
      <c r="J373" s="270">
        <f t="shared" si="72"/>
        <v>19</v>
      </c>
      <c r="K373" s="210">
        <v>8.1999999999999993</v>
      </c>
      <c r="L373" s="271">
        <v>32</v>
      </c>
      <c r="N373" s="244">
        <v>0.246</v>
      </c>
      <c r="O373" s="245">
        <v>0.29099999999999998</v>
      </c>
      <c r="P373" s="249">
        <f>IF(O373&lt;&gt;"",MROUND(O373*64,Param_DSC!$C$60),"")</f>
        <v>18.5</v>
      </c>
      <c r="Q373" s="249">
        <f t="shared" si="65"/>
        <v>7.3913999999999991</v>
      </c>
      <c r="R373" s="249">
        <f t="shared" si="69"/>
        <v>812.8</v>
      </c>
      <c r="S373" s="247"/>
      <c r="T373" s="280"/>
      <c r="U373" s="247"/>
    </row>
    <row r="374" spans="1:21" x14ac:dyDescent="0.2">
      <c r="A374" s="195" t="s">
        <v>130</v>
      </c>
      <c r="B374" s="196"/>
      <c r="C374" s="196"/>
      <c r="D374" s="196"/>
      <c r="E374" s="211" t="s">
        <v>352</v>
      </c>
      <c r="F374" s="206">
        <v>0.5</v>
      </c>
      <c r="G374" s="207">
        <f t="shared" si="70"/>
        <v>0.41249999999999998</v>
      </c>
      <c r="H374" s="208">
        <f t="shared" si="66"/>
        <v>63.030303030303031</v>
      </c>
      <c r="I374" s="209">
        <f t="shared" si="71"/>
        <v>211.7</v>
      </c>
      <c r="J374" s="270">
        <f t="shared" si="72"/>
        <v>19</v>
      </c>
      <c r="K374" s="210">
        <v>7.3</v>
      </c>
      <c r="L374" s="271">
        <v>32</v>
      </c>
      <c r="N374" s="244">
        <v>0.246</v>
      </c>
      <c r="O374" s="245">
        <v>0.29099999999999998</v>
      </c>
      <c r="P374" s="249">
        <f>IF(O374&lt;&gt;"",MROUND(O374*64,Param_DSC!$C$60),"")</f>
        <v>18.5</v>
      </c>
      <c r="Q374" s="249">
        <f t="shared" si="65"/>
        <v>7.3913999999999991</v>
      </c>
      <c r="R374" s="249">
        <f t="shared" si="69"/>
        <v>812.8</v>
      </c>
      <c r="S374" s="247"/>
      <c r="T374" s="280"/>
      <c r="U374" s="247"/>
    </row>
    <row r="375" spans="1:21" x14ac:dyDescent="0.2">
      <c r="A375" s="195" t="s">
        <v>130</v>
      </c>
      <c r="B375" s="196"/>
      <c r="C375" s="196"/>
      <c r="D375" s="196"/>
      <c r="E375" s="211" t="s">
        <v>359</v>
      </c>
      <c r="F375" s="206">
        <v>0.2</v>
      </c>
      <c r="G375" s="207">
        <f t="shared" si="70"/>
        <v>0.16500000000000001</v>
      </c>
      <c r="H375" s="208">
        <f t="shared" si="66"/>
        <v>157.57575757575756</v>
      </c>
      <c r="I375" s="209">
        <f t="shared" si="71"/>
        <v>336.4</v>
      </c>
      <c r="J375" s="270">
        <f t="shared" si="72"/>
        <v>18</v>
      </c>
      <c r="K375" s="210">
        <v>11.6</v>
      </c>
      <c r="L375" s="271">
        <v>30</v>
      </c>
      <c r="N375" s="244">
        <v>0.20399999999999999</v>
      </c>
      <c r="O375" s="245">
        <v>0.28100000000000003</v>
      </c>
      <c r="P375" s="249">
        <f>IF(O375&lt;&gt;"",MROUND(O375*64,Param_DSC!$C$60),"")</f>
        <v>18</v>
      </c>
      <c r="Q375" s="249">
        <f t="shared" si="65"/>
        <v>7.1374000000000004</v>
      </c>
      <c r="R375" s="249">
        <f t="shared" si="69"/>
        <v>762</v>
      </c>
      <c r="S375" s="247"/>
      <c r="T375" s="280"/>
      <c r="U375" s="247"/>
    </row>
    <row r="376" spans="1:21" x14ac:dyDescent="0.2">
      <c r="A376" s="195" t="s">
        <v>130</v>
      </c>
      <c r="B376" s="196"/>
      <c r="C376" s="196"/>
      <c r="D376" s="196"/>
      <c r="E376" s="211" t="s">
        <v>360</v>
      </c>
      <c r="F376" s="206">
        <v>0.3</v>
      </c>
      <c r="G376" s="207">
        <f t="shared" si="70"/>
        <v>0.24749999999999997</v>
      </c>
      <c r="H376" s="208">
        <f t="shared" si="66"/>
        <v>105.05050505050507</v>
      </c>
      <c r="I376" s="209">
        <f t="shared" si="71"/>
        <v>301.60000000000002</v>
      </c>
      <c r="J376" s="270">
        <f t="shared" si="72"/>
        <v>18</v>
      </c>
      <c r="K376" s="210">
        <v>10.4</v>
      </c>
      <c r="L376" s="271">
        <v>30</v>
      </c>
      <c r="N376" s="244">
        <v>0.20399999999999999</v>
      </c>
      <c r="O376" s="245">
        <v>0.27500000000000002</v>
      </c>
      <c r="P376" s="249">
        <f>IF(O376&lt;&gt;"",MROUND(O376*64,Param_DSC!$C$60),"")</f>
        <v>17.5</v>
      </c>
      <c r="Q376" s="249">
        <f t="shared" si="65"/>
        <v>6.9850000000000003</v>
      </c>
      <c r="R376" s="249">
        <f t="shared" si="69"/>
        <v>762</v>
      </c>
      <c r="S376" s="247"/>
      <c r="T376" s="280"/>
      <c r="U376" s="247"/>
    </row>
    <row r="377" spans="1:21" x14ac:dyDescent="0.2">
      <c r="A377" s="195" t="s">
        <v>130</v>
      </c>
      <c r="B377" s="196"/>
      <c r="C377" s="196"/>
      <c r="D377" s="196"/>
      <c r="E377" s="211" t="s">
        <v>361</v>
      </c>
      <c r="F377" s="206">
        <v>0.34</v>
      </c>
      <c r="G377" s="207">
        <f t="shared" si="70"/>
        <v>0.28050000000000003</v>
      </c>
      <c r="H377" s="208">
        <f t="shared" si="66"/>
        <v>92.691622103386806</v>
      </c>
      <c r="I377" s="209">
        <f t="shared" si="71"/>
        <v>287.10000000000002</v>
      </c>
      <c r="J377" s="270">
        <f t="shared" si="72"/>
        <v>18</v>
      </c>
      <c r="K377" s="210">
        <v>9.9</v>
      </c>
      <c r="L377" s="271">
        <v>30</v>
      </c>
      <c r="N377" s="244">
        <v>0.20399999999999999</v>
      </c>
      <c r="O377" s="245">
        <v>0.27300000000000002</v>
      </c>
      <c r="P377" s="249">
        <f>IF(O377&lt;&gt;"",MROUND(O377*64,Param_DSC!$C$60),"")</f>
        <v>17.5</v>
      </c>
      <c r="Q377" s="249">
        <f t="shared" si="65"/>
        <v>6.9341999999999997</v>
      </c>
      <c r="R377" s="249">
        <f t="shared" si="69"/>
        <v>762</v>
      </c>
      <c r="S377" s="247"/>
      <c r="T377" s="280"/>
      <c r="U377" s="247"/>
    </row>
    <row r="378" spans="1:21" x14ac:dyDescent="0.2">
      <c r="A378" s="195" t="s">
        <v>130</v>
      </c>
      <c r="B378" s="196"/>
      <c r="C378" s="196"/>
      <c r="D378" s="196"/>
      <c r="E378" s="211" t="s">
        <v>362</v>
      </c>
      <c r="F378" s="206">
        <v>0.4</v>
      </c>
      <c r="G378" s="207">
        <f t="shared" si="70"/>
        <v>0.33</v>
      </c>
      <c r="H378" s="208">
        <f t="shared" si="66"/>
        <v>78.787878787878782</v>
      </c>
      <c r="I378" s="209">
        <f t="shared" si="71"/>
        <v>275.5</v>
      </c>
      <c r="J378" s="270">
        <f t="shared" si="72"/>
        <v>18</v>
      </c>
      <c r="K378" s="210">
        <v>9.5</v>
      </c>
      <c r="L378" s="271">
        <v>30</v>
      </c>
      <c r="N378" s="244">
        <v>0.20399999999999999</v>
      </c>
      <c r="O378" s="245">
        <v>0.27</v>
      </c>
      <c r="P378" s="249">
        <f>IF(O378&lt;&gt;"",MROUND(O378*64,Param_DSC!$C$60),"")</f>
        <v>17.5</v>
      </c>
      <c r="Q378" s="249">
        <f t="shared" si="65"/>
        <v>6.8579999999999997</v>
      </c>
      <c r="R378" s="249">
        <f t="shared" si="69"/>
        <v>762</v>
      </c>
      <c r="S378" s="247"/>
      <c r="T378" s="280"/>
      <c r="U378" s="247"/>
    </row>
    <row r="379" spans="1:21" x14ac:dyDescent="0.2">
      <c r="A379" s="195" t="s">
        <v>130</v>
      </c>
      <c r="B379" s="196"/>
      <c r="C379" s="196"/>
      <c r="D379" s="196"/>
      <c r="E379" s="211" t="s">
        <v>363</v>
      </c>
      <c r="F379" s="206">
        <v>0.5</v>
      </c>
      <c r="G379" s="207">
        <f t="shared" si="70"/>
        <v>0.41249999999999998</v>
      </c>
      <c r="H379" s="208">
        <f t="shared" si="66"/>
        <v>63.030303030303031</v>
      </c>
      <c r="I379" s="209">
        <f t="shared" si="71"/>
        <v>220.39999999999998</v>
      </c>
      <c r="J379" s="270">
        <f t="shared" si="72"/>
        <v>17</v>
      </c>
      <c r="K379" s="210">
        <v>7.6</v>
      </c>
      <c r="L379" s="271">
        <v>30</v>
      </c>
      <c r="N379" s="244">
        <v>0.20399999999999999</v>
      </c>
      <c r="O379" s="245">
        <v>0.25800000000000001</v>
      </c>
      <c r="P379" s="249">
        <f>IF(O379&lt;&gt;"",MROUND(O379*64,Param_DSC!$C$60),"")</f>
        <v>16.5</v>
      </c>
      <c r="Q379" s="249">
        <f t="shared" si="65"/>
        <v>6.5531999999999995</v>
      </c>
      <c r="R379" s="249">
        <f t="shared" si="69"/>
        <v>762</v>
      </c>
      <c r="S379" s="247"/>
      <c r="T379" s="280"/>
      <c r="U379" s="247"/>
    </row>
    <row r="380" spans="1:21" x14ac:dyDescent="0.2">
      <c r="A380" s="195" t="s">
        <v>130</v>
      </c>
      <c r="B380" s="196"/>
      <c r="C380" s="196"/>
      <c r="D380" s="196"/>
      <c r="E380" s="211" t="s">
        <v>333</v>
      </c>
      <c r="F380" s="206">
        <v>0.3</v>
      </c>
      <c r="G380" s="207">
        <f t="shared" si="70"/>
        <v>0.24749999999999997</v>
      </c>
      <c r="H380" s="208">
        <f t="shared" si="66"/>
        <v>105.05050505050507</v>
      </c>
      <c r="I380" s="209">
        <f t="shared" si="71"/>
        <v>255.20000000000002</v>
      </c>
      <c r="J380" s="270">
        <f t="shared" si="72"/>
        <v>20</v>
      </c>
      <c r="K380" s="210">
        <v>8.8000000000000007</v>
      </c>
      <c r="L380" s="271">
        <v>32</v>
      </c>
      <c r="N380" s="244">
        <v>0.246</v>
      </c>
      <c r="O380" s="245">
        <v>0.312</v>
      </c>
      <c r="P380" s="249">
        <f>IF(O380&lt;&gt;"",MROUND(O380*64,Param_DSC!$C$60),"")</f>
        <v>20</v>
      </c>
      <c r="Q380" s="249">
        <f t="shared" si="65"/>
        <v>7.9247999999999994</v>
      </c>
      <c r="R380" s="249">
        <f t="shared" si="69"/>
        <v>812.8</v>
      </c>
      <c r="S380" s="247"/>
      <c r="T380" s="280"/>
      <c r="U380" s="247"/>
    </row>
    <row r="381" spans="1:21" x14ac:dyDescent="0.2">
      <c r="A381" s="195" t="s">
        <v>130</v>
      </c>
      <c r="B381" s="196"/>
      <c r="C381" s="196"/>
      <c r="D381" s="196"/>
      <c r="E381" s="211" t="s">
        <v>334</v>
      </c>
      <c r="F381" s="206">
        <v>0.34</v>
      </c>
      <c r="G381" s="207">
        <f t="shared" si="70"/>
        <v>0.28050000000000003</v>
      </c>
      <c r="H381" s="208">
        <f t="shared" si="66"/>
        <v>92.691622103386806</v>
      </c>
      <c r="I381" s="209">
        <f t="shared" si="71"/>
        <v>237.79999999999998</v>
      </c>
      <c r="J381" s="270">
        <f t="shared" si="72"/>
        <v>20</v>
      </c>
      <c r="K381" s="210">
        <v>8.1999999999999993</v>
      </c>
      <c r="L381" s="271">
        <v>32</v>
      </c>
      <c r="N381" s="244">
        <v>0.246</v>
      </c>
      <c r="O381" s="245">
        <v>0.312</v>
      </c>
      <c r="P381" s="249">
        <f>IF(O381&lt;&gt;"",MROUND(O381*64,Param_DSC!$C$60),"")</f>
        <v>20</v>
      </c>
      <c r="Q381" s="249">
        <f t="shared" si="65"/>
        <v>7.9247999999999994</v>
      </c>
      <c r="R381" s="249">
        <f t="shared" si="69"/>
        <v>812.8</v>
      </c>
      <c r="S381" s="247"/>
      <c r="T381" s="280"/>
      <c r="U381" s="247"/>
    </row>
    <row r="382" spans="1:21" x14ac:dyDescent="0.2">
      <c r="A382" s="195" t="s">
        <v>130</v>
      </c>
      <c r="B382" s="196"/>
      <c r="C382" s="196"/>
      <c r="D382" s="196"/>
      <c r="E382" s="211" t="s">
        <v>335</v>
      </c>
      <c r="F382" s="206">
        <v>0.4</v>
      </c>
      <c r="G382" s="207">
        <f t="shared" si="70"/>
        <v>0.33</v>
      </c>
      <c r="H382" s="208">
        <f t="shared" si="66"/>
        <v>78.787878787878782</v>
      </c>
      <c r="I382" s="209">
        <f t="shared" si="71"/>
        <v>214.60000000000002</v>
      </c>
      <c r="J382" s="270">
        <f t="shared" si="72"/>
        <v>20</v>
      </c>
      <c r="K382" s="210">
        <v>7.4</v>
      </c>
      <c r="L382" s="271">
        <v>32</v>
      </c>
      <c r="N382" s="244">
        <v>0.246</v>
      </c>
      <c r="O382" s="245">
        <v>0.30199999999999999</v>
      </c>
      <c r="P382" s="249">
        <f>IF(O382&lt;&gt;"",MROUND(O382*64,Param_DSC!$C$60),"")</f>
        <v>19.5</v>
      </c>
      <c r="Q382" s="249">
        <f t="shared" si="65"/>
        <v>7.670799999999999</v>
      </c>
      <c r="R382" s="249">
        <f t="shared" si="69"/>
        <v>812.8</v>
      </c>
      <c r="S382" s="247"/>
      <c r="T382" s="280"/>
      <c r="U382" s="247"/>
    </row>
    <row r="383" spans="1:21" x14ac:dyDescent="0.2">
      <c r="A383" s="195" t="s">
        <v>130</v>
      </c>
      <c r="B383" s="196"/>
      <c r="C383" s="196"/>
      <c r="D383" s="196"/>
      <c r="E383" s="211" t="s">
        <v>336</v>
      </c>
      <c r="F383" s="206">
        <v>0.4</v>
      </c>
      <c r="G383" s="207">
        <f t="shared" si="70"/>
        <v>0.33</v>
      </c>
      <c r="H383" s="208">
        <f t="shared" si="66"/>
        <v>78.787878787878782</v>
      </c>
      <c r="I383" s="209">
        <f t="shared" si="71"/>
        <v>214.60000000000002</v>
      </c>
      <c r="J383" s="270">
        <f t="shared" si="72"/>
        <v>20</v>
      </c>
      <c r="K383" s="210">
        <v>7.4</v>
      </c>
      <c r="L383" s="271">
        <v>32</v>
      </c>
      <c r="N383" s="244">
        <v>0.246</v>
      </c>
      <c r="O383" s="245">
        <v>0.30199999999999999</v>
      </c>
      <c r="P383" s="249">
        <f>IF(O383&lt;&gt;"",MROUND(O383*64,Param_DSC!$C$60),"")</f>
        <v>19.5</v>
      </c>
      <c r="Q383" s="249">
        <f t="shared" si="65"/>
        <v>7.670799999999999</v>
      </c>
      <c r="R383" s="249">
        <f t="shared" si="69"/>
        <v>812.8</v>
      </c>
      <c r="S383" s="247"/>
      <c r="T383" s="280"/>
      <c r="U383" s="247"/>
    </row>
    <row r="384" spans="1:21" x14ac:dyDescent="0.2">
      <c r="A384" s="195" t="s">
        <v>130</v>
      </c>
      <c r="B384" s="196"/>
      <c r="C384" s="196"/>
      <c r="D384" s="196"/>
      <c r="E384" s="211" t="s">
        <v>337</v>
      </c>
      <c r="F384" s="206">
        <v>0.5</v>
      </c>
      <c r="G384" s="207">
        <f t="shared" si="70"/>
        <v>0.41249999999999998</v>
      </c>
      <c r="H384" s="208">
        <f t="shared" si="66"/>
        <v>63.030303030303031</v>
      </c>
      <c r="I384" s="209">
        <f t="shared" si="71"/>
        <v>182.7</v>
      </c>
      <c r="J384" s="270">
        <f t="shared" si="72"/>
        <v>19</v>
      </c>
      <c r="K384" s="210">
        <v>6.3</v>
      </c>
      <c r="L384" s="271">
        <v>30</v>
      </c>
      <c r="N384" s="244">
        <v>0.246</v>
      </c>
      <c r="O384" s="245">
        <v>0.29899999999999999</v>
      </c>
      <c r="P384" s="249">
        <f>IF(O384&lt;&gt;"",MROUND(O384*64,Param_DSC!$C$60),"")</f>
        <v>19</v>
      </c>
      <c r="Q384" s="249">
        <f t="shared" si="65"/>
        <v>7.5945999999999989</v>
      </c>
      <c r="R384" s="249">
        <f t="shared" si="69"/>
        <v>762</v>
      </c>
      <c r="S384" s="247"/>
      <c r="T384" s="280"/>
      <c r="U384" s="247"/>
    </row>
    <row r="385" spans="1:21" x14ac:dyDescent="0.2">
      <c r="A385" s="195" t="s">
        <v>130</v>
      </c>
      <c r="B385" s="196"/>
      <c r="C385" s="196"/>
      <c r="D385" s="196"/>
      <c r="E385" s="211" t="s">
        <v>367</v>
      </c>
      <c r="F385" s="206">
        <v>0.3</v>
      </c>
      <c r="G385" s="207">
        <f t="shared" si="70"/>
        <v>0.24749999999999997</v>
      </c>
      <c r="H385" s="208">
        <f t="shared" si="66"/>
        <v>105.05050505050507</v>
      </c>
      <c r="I385" s="209">
        <f t="shared" si="71"/>
        <v>211.7</v>
      </c>
      <c r="J385" s="270">
        <f t="shared" si="72"/>
        <v>22</v>
      </c>
      <c r="K385" s="210">
        <v>7.3</v>
      </c>
      <c r="L385" s="271">
        <v>32</v>
      </c>
      <c r="N385" s="244">
        <v>0.3</v>
      </c>
      <c r="O385" s="245">
        <v>0.33700000000000002</v>
      </c>
      <c r="P385" s="249">
        <f>IF(O385&lt;&gt;"",MROUND(O385*64,Param_DSC!$C$60),"")</f>
        <v>21.5</v>
      </c>
      <c r="Q385" s="249">
        <f t="shared" si="65"/>
        <v>8.5597999999999992</v>
      </c>
      <c r="R385" s="249">
        <f t="shared" si="69"/>
        <v>812.8</v>
      </c>
      <c r="S385" s="259"/>
      <c r="T385" s="280"/>
      <c r="U385" s="247"/>
    </row>
    <row r="386" spans="1:21" x14ac:dyDescent="0.2">
      <c r="A386" s="195" t="s">
        <v>130</v>
      </c>
      <c r="B386" s="196"/>
      <c r="C386" s="196"/>
      <c r="D386" s="196"/>
      <c r="E386" s="211" t="s">
        <v>341</v>
      </c>
      <c r="F386" s="206">
        <v>0.3</v>
      </c>
      <c r="G386" s="207">
        <f t="shared" si="70"/>
        <v>0.24749999999999997</v>
      </c>
      <c r="H386" s="208">
        <f t="shared" si="66"/>
        <v>105.05050505050507</v>
      </c>
      <c r="I386" s="209">
        <f t="shared" si="71"/>
        <v>316.10000000000002</v>
      </c>
      <c r="J386" s="270">
        <f t="shared" si="72"/>
        <v>20</v>
      </c>
      <c r="K386" s="210">
        <v>10.9</v>
      </c>
      <c r="L386" s="271">
        <v>32</v>
      </c>
      <c r="N386" s="244">
        <v>0.246</v>
      </c>
      <c r="O386" s="245">
        <v>0.30199999999999999</v>
      </c>
      <c r="P386" s="249">
        <f>IF(O386&lt;&gt;"",MROUND(O386*64,Param_DSC!$C$60),"")</f>
        <v>19.5</v>
      </c>
      <c r="Q386" s="249">
        <f t="shared" si="65"/>
        <v>7.670799999999999</v>
      </c>
      <c r="R386" s="249">
        <f t="shared" si="69"/>
        <v>812.8</v>
      </c>
      <c r="S386" s="247"/>
      <c r="T386" s="280"/>
      <c r="U386" s="247"/>
    </row>
    <row r="387" spans="1:21" x14ac:dyDescent="0.2">
      <c r="A387" s="195" t="s">
        <v>130</v>
      </c>
      <c r="B387" s="196"/>
      <c r="C387" s="196"/>
      <c r="D387" s="196"/>
      <c r="E387" s="211" t="s">
        <v>342</v>
      </c>
      <c r="F387" s="206">
        <v>0.4</v>
      </c>
      <c r="G387" s="207">
        <f t="shared" si="70"/>
        <v>0.33</v>
      </c>
      <c r="H387" s="208">
        <f t="shared" si="66"/>
        <v>78.787878787878782</v>
      </c>
      <c r="I387" s="209">
        <f t="shared" si="71"/>
        <v>272.60000000000002</v>
      </c>
      <c r="J387" s="270">
        <f t="shared" si="72"/>
        <v>19</v>
      </c>
      <c r="K387" s="210">
        <v>9.4</v>
      </c>
      <c r="L387" s="271">
        <v>32</v>
      </c>
      <c r="N387" s="244">
        <v>0.246</v>
      </c>
      <c r="O387" s="245">
        <v>0.29499999999999998</v>
      </c>
      <c r="P387" s="249">
        <f>IF(O387&lt;&gt;"",MROUND(O387*64,Param_DSC!$C$60),"")</f>
        <v>19</v>
      </c>
      <c r="Q387" s="249">
        <f t="shared" si="65"/>
        <v>7.4929999999999994</v>
      </c>
      <c r="R387" s="249">
        <f t="shared" si="69"/>
        <v>812.8</v>
      </c>
      <c r="S387" s="247"/>
      <c r="T387" s="280"/>
      <c r="U387" s="247"/>
    </row>
    <row r="388" spans="1:21" x14ac:dyDescent="0.2">
      <c r="A388" s="195" t="s">
        <v>130</v>
      </c>
      <c r="B388" s="196"/>
      <c r="C388" s="196"/>
      <c r="D388" s="196"/>
      <c r="E388" s="211" t="s">
        <v>343</v>
      </c>
      <c r="F388" s="206">
        <v>0.5</v>
      </c>
      <c r="G388" s="207">
        <f t="shared" si="70"/>
        <v>0.41249999999999998</v>
      </c>
      <c r="H388" s="208">
        <f t="shared" si="66"/>
        <v>63.030303030303031</v>
      </c>
      <c r="I388" s="209">
        <f t="shared" si="71"/>
        <v>249.39999999999998</v>
      </c>
      <c r="J388" s="270">
        <f t="shared" si="72"/>
        <v>19</v>
      </c>
      <c r="K388" s="210">
        <v>8.6</v>
      </c>
      <c r="L388" s="271">
        <v>32</v>
      </c>
      <c r="N388" s="244">
        <v>0.246</v>
      </c>
      <c r="O388" s="245">
        <v>0.29099999999999998</v>
      </c>
      <c r="P388" s="249">
        <f>IF(O388&lt;&gt;"",MROUND(O388*64,Param_DSC!$C$60),"")</f>
        <v>18.5</v>
      </c>
      <c r="Q388" s="249">
        <f t="shared" si="65"/>
        <v>7.3913999999999991</v>
      </c>
      <c r="R388" s="249">
        <f t="shared" si="69"/>
        <v>812.8</v>
      </c>
      <c r="S388" s="247"/>
      <c r="T388" s="280"/>
      <c r="U388" s="247"/>
    </row>
    <row r="389" spans="1:21" x14ac:dyDescent="0.2">
      <c r="A389" s="195" t="s">
        <v>130</v>
      </c>
      <c r="B389" s="196"/>
      <c r="C389" s="196"/>
      <c r="D389" s="196"/>
      <c r="E389" s="211" t="s">
        <v>174</v>
      </c>
      <c r="F389" s="215">
        <v>0.34</v>
      </c>
      <c r="G389" s="207">
        <f t="shared" si="70"/>
        <v>0.28050000000000003</v>
      </c>
      <c r="H389" s="208">
        <f t="shared" si="66"/>
        <v>92.691622103386806</v>
      </c>
      <c r="I389" s="209">
        <f t="shared" si="71"/>
        <v>304.5</v>
      </c>
      <c r="J389" s="270">
        <f t="shared" si="72"/>
        <v>20</v>
      </c>
      <c r="K389" s="210">
        <v>10.5</v>
      </c>
      <c r="L389" s="271">
        <v>32</v>
      </c>
      <c r="N389" s="244">
        <v>0.246</v>
      </c>
      <c r="O389" s="245">
        <v>0.311</v>
      </c>
      <c r="P389" s="249">
        <f>IF(O389&lt;&gt;"",MROUND(O389*64,Param_DSC!$C$60),"")</f>
        <v>20</v>
      </c>
      <c r="Q389" s="249">
        <f t="shared" si="65"/>
        <v>7.8993999999999991</v>
      </c>
      <c r="R389" s="249">
        <f t="shared" si="69"/>
        <v>812.8</v>
      </c>
      <c r="S389" s="259"/>
      <c r="T389" s="280"/>
      <c r="U389" s="247"/>
    </row>
    <row r="390" spans="1:21" x14ac:dyDescent="0.2">
      <c r="A390" s="195" t="s">
        <v>130</v>
      </c>
      <c r="B390" s="196"/>
      <c r="C390" s="196"/>
      <c r="D390" s="196"/>
      <c r="E390" s="211" t="s">
        <v>175</v>
      </c>
      <c r="F390" s="215">
        <v>0.4</v>
      </c>
      <c r="G390" s="207">
        <f t="shared" si="70"/>
        <v>0.33</v>
      </c>
      <c r="H390" s="208">
        <f t="shared" si="66"/>
        <v>78.787878787878782</v>
      </c>
      <c r="I390" s="209">
        <f t="shared" si="71"/>
        <v>269.70000000000005</v>
      </c>
      <c r="J390" s="270">
        <f t="shared" si="72"/>
        <v>20</v>
      </c>
      <c r="K390" s="210">
        <v>9.3000000000000007</v>
      </c>
      <c r="L390" s="271">
        <v>32</v>
      </c>
      <c r="N390" s="244">
        <v>0.246</v>
      </c>
      <c r="O390" s="245">
        <v>0.30199999999999999</v>
      </c>
      <c r="P390" s="249">
        <f>IF(O390&lt;&gt;"",MROUND(O390*64,Param_DSC!$C$60),"")</f>
        <v>19.5</v>
      </c>
      <c r="Q390" s="249">
        <f t="shared" si="65"/>
        <v>7.670799999999999</v>
      </c>
      <c r="R390" s="249">
        <f t="shared" si="69"/>
        <v>812.8</v>
      </c>
      <c r="S390" s="247"/>
      <c r="T390" s="280"/>
      <c r="U390" s="247"/>
    </row>
    <row r="391" spans="1:21" x14ac:dyDescent="0.2">
      <c r="A391" s="195" t="s">
        <v>130</v>
      </c>
      <c r="B391" s="196"/>
      <c r="C391" s="196"/>
      <c r="D391" s="196"/>
      <c r="E391" s="211" t="s">
        <v>176</v>
      </c>
      <c r="F391" s="215">
        <v>0.5</v>
      </c>
      <c r="G391" s="207">
        <f t="shared" si="70"/>
        <v>0.41249999999999998</v>
      </c>
      <c r="H391" s="208">
        <f t="shared" si="66"/>
        <v>63.030303030303031</v>
      </c>
      <c r="I391" s="209">
        <f t="shared" si="71"/>
        <v>249.39999999999998</v>
      </c>
      <c r="J391" s="270">
        <f t="shared" si="72"/>
        <v>19</v>
      </c>
      <c r="K391" s="210">
        <v>8.6</v>
      </c>
      <c r="L391" s="271">
        <v>32</v>
      </c>
      <c r="N391" s="244">
        <v>0.246</v>
      </c>
      <c r="O391" s="245">
        <v>0.29699999999999999</v>
      </c>
      <c r="P391" s="249">
        <f>IF(O391&lt;&gt;"",MROUND(O391*64,Param_DSC!$C$60),"")</f>
        <v>19</v>
      </c>
      <c r="Q391" s="249">
        <f t="shared" si="65"/>
        <v>7.5437999999999992</v>
      </c>
      <c r="R391" s="249">
        <f t="shared" si="69"/>
        <v>812.8</v>
      </c>
      <c r="S391" s="247"/>
      <c r="T391" s="280"/>
      <c r="U391" s="247"/>
    </row>
    <row r="392" spans="1:21" x14ac:dyDescent="0.2">
      <c r="A392" s="195" t="s">
        <v>130</v>
      </c>
      <c r="B392" s="196"/>
      <c r="C392" s="196"/>
      <c r="D392" s="196"/>
      <c r="E392" s="211" t="s">
        <v>177</v>
      </c>
      <c r="F392" s="215">
        <v>0.6</v>
      </c>
      <c r="G392" s="207">
        <f t="shared" si="70"/>
        <v>0.49499999999999994</v>
      </c>
      <c r="H392" s="208">
        <f t="shared" si="66"/>
        <v>52.525252525252533</v>
      </c>
      <c r="I392" s="209">
        <f t="shared" si="71"/>
        <v>226.2</v>
      </c>
      <c r="J392" s="270">
        <f t="shared" si="72"/>
        <v>19</v>
      </c>
      <c r="K392" s="210">
        <v>7.8</v>
      </c>
      <c r="L392" s="271">
        <v>30</v>
      </c>
      <c r="N392" s="244">
        <v>0.246</v>
      </c>
      <c r="O392" s="245">
        <v>0.29599999999999999</v>
      </c>
      <c r="P392" s="249">
        <f>IF(O392&lt;&gt;"",MROUND(O392*64,Param_DSC!$C$60),"")</f>
        <v>19</v>
      </c>
      <c r="Q392" s="249">
        <f t="shared" si="65"/>
        <v>7.5183999999999989</v>
      </c>
      <c r="R392" s="249">
        <f t="shared" si="69"/>
        <v>762</v>
      </c>
      <c r="S392" s="247"/>
      <c r="T392" s="280"/>
      <c r="U392" s="247"/>
    </row>
    <row r="393" spans="1:21" x14ac:dyDescent="0.2">
      <c r="A393" s="195" t="s">
        <v>130</v>
      </c>
      <c r="B393" s="196"/>
      <c r="C393" s="196"/>
      <c r="D393" s="196"/>
      <c r="E393" s="211" t="s">
        <v>346</v>
      </c>
      <c r="F393" s="206">
        <v>0.15</v>
      </c>
      <c r="G393" s="207">
        <f t="shared" si="70"/>
        <v>0.12374999999999999</v>
      </c>
      <c r="H393" s="208">
        <f t="shared" si="66"/>
        <v>210.10101010101013</v>
      </c>
      <c r="I393" s="209">
        <f t="shared" si="71"/>
        <v>269.70000000000005</v>
      </c>
      <c r="J393" s="270">
        <f t="shared" si="72"/>
        <v>27</v>
      </c>
      <c r="K393" s="210">
        <v>9.3000000000000007</v>
      </c>
      <c r="L393" s="271">
        <v>32</v>
      </c>
      <c r="N393" s="244">
        <v>0.38300000000000001</v>
      </c>
      <c r="O393" s="245">
        <v>0.42099999999999999</v>
      </c>
      <c r="P393" s="249">
        <f>IF(O393&lt;&gt;"",MROUND(O393*64,Param_DSC!$C$60),"")</f>
        <v>27</v>
      </c>
      <c r="Q393" s="249">
        <f t="shared" si="65"/>
        <v>10.693399999999999</v>
      </c>
      <c r="R393" s="249">
        <f t="shared" si="69"/>
        <v>812.8</v>
      </c>
      <c r="S393" s="259"/>
      <c r="T393" s="280"/>
      <c r="U393" s="247"/>
    </row>
    <row r="394" spans="1:21" x14ac:dyDescent="0.2">
      <c r="A394" s="195" t="s">
        <v>130</v>
      </c>
      <c r="B394" s="196"/>
      <c r="C394" s="196"/>
      <c r="D394" s="196"/>
      <c r="E394" s="211" t="s">
        <v>338</v>
      </c>
      <c r="F394" s="206">
        <v>0.3</v>
      </c>
      <c r="G394" s="207">
        <f t="shared" si="70"/>
        <v>0.24749999999999997</v>
      </c>
      <c r="H394" s="208">
        <f t="shared" si="66"/>
        <v>105.05050505050507</v>
      </c>
      <c r="I394" s="209">
        <f t="shared" si="71"/>
        <v>301.60000000000002</v>
      </c>
      <c r="J394" s="270">
        <f t="shared" si="72"/>
        <v>18</v>
      </c>
      <c r="K394" s="210">
        <v>10.4</v>
      </c>
      <c r="L394" s="271">
        <v>30</v>
      </c>
      <c r="N394" s="244">
        <v>0.20399999999999999</v>
      </c>
      <c r="O394" s="245">
        <v>0.27500000000000002</v>
      </c>
      <c r="P394" s="249">
        <f>IF(O394&lt;&gt;"",MROUND(O394*64,Param_DSC!$C$60),"")</f>
        <v>17.5</v>
      </c>
      <c r="Q394" s="249">
        <f t="shared" si="65"/>
        <v>6.9850000000000003</v>
      </c>
      <c r="R394" s="249">
        <f t="shared" si="69"/>
        <v>762</v>
      </c>
      <c r="S394" s="247"/>
      <c r="T394" s="280"/>
      <c r="U394" s="247"/>
    </row>
    <row r="395" spans="1:21" x14ac:dyDescent="0.2">
      <c r="A395" s="195" t="s">
        <v>130</v>
      </c>
      <c r="B395" s="196"/>
      <c r="C395" s="196"/>
      <c r="D395" s="196"/>
      <c r="E395" s="211" t="s">
        <v>339</v>
      </c>
      <c r="F395" s="206">
        <v>0.4</v>
      </c>
      <c r="G395" s="207">
        <f t="shared" si="70"/>
        <v>0.33</v>
      </c>
      <c r="H395" s="208">
        <f t="shared" si="66"/>
        <v>78.787878787878782</v>
      </c>
      <c r="I395" s="209">
        <f t="shared" si="71"/>
        <v>275.5</v>
      </c>
      <c r="J395" s="270">
        <f t="shared" si="72"/>
        <v>18</v>
      </c>
      <c r="K395" s="210">
        <v>9.5</v>
      </c>
      <c r="L395" s="271">
        <v>30</v>
      </c>
      <c r="N395" s="244">
        <v>0.20399999999999999</v>
      </c>
      <c r="O395" s="245">
        <v>0.27</v>
      </c>
      <c r="P395" s="249">
        <f>IF(O395&lt;&gt;"",MROUND(O395*64,Param_DSC!$C$60),"")</f>
        <v>17.5</v>
      </c>
      <c r="Q395" s="249">
        <f t="shared" ref="Q395:Q451" si="73">IF(O395&lt;&gt;"",O395*25.4,"")</f>
        <v>6.8579999999999997</v>
      </c>
      <c r="R395" s="249">
        <f t="shared" si="69"/>
        <v>762</v>
      </c>
      <c r="S395" s="247"/>
      <c r="T395" s="280"/>
      <c r="U395" s="247"/>
    </row>
    <row r="396" spans="1:21" x14ac:dyDescent="0.2">
      <c r="A396" s="195" t="s">
        <v>130</v>
      </c>
      <c r="B396" s="196"/>
      <c r="C396" s="196"/>
      <c r="D396" s="196"/>
      <c r="E396" s="211" t="s">
        <v>340</v>
      </c>
      <c r="F396" s="206">
        <v>0.5</v>
      </c>
      <c r="G396" s="207">
        <f t="shared" si="70"/>
        <v>0.41249999999999998</v>
      </c>
      <c r="H396" s="208">
        <f t="shared" si="66"/>
        <v>63.030303030303031</v>
      </c>
      <c r="I396" s="209">
        <f t="shared" si="71"/>
        <v>220.39999999999998</v>
      </c>
      <c r="J396" s="270">
        <f t="shared" si="72"/>
        <v>17</v>
      </c>
      <c r="K396" s="210">
        <v>7.6</v>
      </c>
      <c r="L396" s="271">
        <v>30</v>
      </c>
      <c r="N396" s="244">
        <v>0.20399999999999999</v>
      </c>
      <c r="O396" s="245">
        <v>0.25800000000000001</v>
      </c>
      <c r="P396" s="249">
        <f>IF(O396&lt;&gt;"",MROUND(O396*64,Param_DSC!$C$60),"")</f>
        <v>16.5</v>
      </c>
      <c r="Q396" s="249">
        <f t="shared" si="73"/>
        <v>6.5531999999999995</v>
      </c>
      <c r="R396" s="249">
        <f t="shared" si="69"/>
        <v>762</v>
      </c>
      <c r="S396" s="247"/>
      <c r="T396" s="280"/>
      <c r="U396" s="247"/>
    </row>
    <row r="397" spans="1:21" x14ac:dyDescent="0.2">
      <c r="A397" s="195" t="s">
        <v>130</v>
      </c>
      <c r="B397" s="196"/>
      <c r="C397" s="196"/>
      <c r="D397" s="196"/>
      <c r="E397" s="211" t="s">
        <v>368</v>
      </c>
      <c r="F397" s="206">
        <v>0.3</v>
      </c>
      <c r="G397" s="207">
        <f t="shared" si="70"/>
        <v>0.24749999999999997</v>
      </c>
      <c r="H397" s="208">
        <f t="shared" si="66"/>
        <v>105.05050505050507</v>
      </c>
      <c r="I397" s="209">
        <f t="shared" si="71"/>
        <v>246.5</v>
      </c>
      <c r="J397" s="270">
        <f t="shared" si="72"/>
        <v>19</v>
      </c>
      <c r="K397" s="210">
        <v>8.5</v>
      </c>
      <c r="L397" s="271">
        <v>32</v>
      </c>
      <c r="N397" s="244">
        <v>0.246</v>
      </c>
      <c r="O397" s="245">
        <v>0.29599999999999999</v>
      </c>
      <c r="P397" s="249">
        <f>IF(O397&lt;&gt;"",MROUND(O397*64,Param_DSC!$C$60),"")</f>
        <v>19</v>
      </c>
      <c r="Q397" s="249">
        <f t="shared" si="73"/>
        <v>7.5183999999999989</v>
      </c>
      <c r="R397" s="249">
        <f t="shared" si="69"/>
        <v>812.8</v>
      </c>
      <c r="S397" s="259"/>
      <c r="T397" s="280"/>
      <c r="U397" s="247"/>
    </row>
    <row r="398" spans="1:21" x14ac:dyDescent="0.2">
      <c r="A398" s="195" t="s">
        <v>130</v>
      </c>
      <c r="B398" s="196"/>
      <c r="C398" s="196"/>
      <c r="D398" s="196"/>
      <c r="E398" s="211" t="s">
        <v>369</v>
      </c>
      <c r="F398" s="206">
        <v>0.4</v>
      </c>
      <c r="G398" s="207">
        <f t="shared" si="70"/>
        <v>0.33</v>
      </c>
      <c r="H398" s="208">
        <f t="shared" si="66"/>
        <v>78.787878787878782</v>
      </c>
      <c r="I398" s="209">
        <f t="shared" si="71"/>
        <v>214.60000000000002</v>
      </c>
      <c r="J398" s="270">
        <f t="shared" si="72"/>
        <v>19</v>
      </c>
      <c r="K398" s="210">
        <v>7.4</v>
      </c>
      <c r="L398" s="271">
        <v>32</v>
      </c>
      <c r="N398" s="244">
        <v>0.246</v>
      </c>
      <c r="O398" s="245">
        <v>0.28999999999999998</v>
      </c>
      <c r="P398" s="249">
        <f>IF(O398&lt;&gt;"",MROUND(O398*64,Param_DSC!$C$60),"")</f>
        <v>18.5</v>
      </c>
      <c r="Q398" s="249">
        <f t="shared" si="73"/>
        <v>7.3659999999999988</v>
      </c>
      <c r="R398" s="249">
        <f t="shared" si="69"/>
        <v>812.8</v>
      </c>
      <c r="S398" s="247"/>
      <c r="T398" s="280"/>
      <c r="U398" s="247"/>
    </row>
    <row r="399" spans="1:21" x14ac:dyDescent="0.2">
      <c r="A399" s="195" t="s">
        <v>130</v>
      </c>
      <c r="B399" s="196"/>
      <c r="C399" s="196"/>
      <c r="D399" s="196"/>
      <c r="E399" s="211" t="s">
        <v>370</v>
      </c>
      <c r="F399" s="206">
        <v>0.5</v>
      </c>
      <c r="G399" s="207">
        <f t="shared" si="70"/>
        <v>0.41249999999999998</v>
      </c>
      <c r="H399" s="208">
        <f t="shared" si="66"/>
        <v>63.030303030303031</v>
      </c>
      <c r="I399" s="209">
        <f t="shared" si="71"/>
        <v>182.7</v>
      </c>
      <c r="J399" s="270">
        <f t="shared" si="72"/>
        <v>18</v>
      </c>
      <c r="K399" s="210">
        <v>6.3</v>
      </c>
      <c r="L399" s="271">
        <v>30</v>
      </c>
      <c r="N399" s="244">
        <v>0.246</v>
      </c>
      <c r="O399" s="245">
        <v>0.28399999999999997</v>
      </c>
      <c r="P399" s="249">
        <f>IF(O399&lt;&gt;"",MROUND(O399*64,Param_DSC!$C$60),"")</f>
        <v>18</v>
      </c>
      <c r="Q399" s="249">
        <f t="shared" si="73"/>
        <v>7.2135999999999987</v>
      </c>
      <c r="R399" s="249">
        <f t="shared" si="69"/>
        <v>762</v>
      </c>
      <c r="S399" s="247"/>
      <c r="T399" s="280"/>
      <c r="U399" s="247"/>
    </row>
    <row r="400" spans="1:21" x14ac:dyDescent="0.2">
      <c r="A400" s="195" t="s">
        <v>130</v>
      </c>
      <c r="B400" s="196"/>
      <c r="C400" s="196"/>
      <c r="D400" s="196"/>
      <c r="E400" s="211" t="s">
        <v>371</v>
      </c>
      <c r="F400" s="206">
        <v>0.6</v>
      </c>
      <c r="G400" s="207">
        <f t="shared" si="70"/>
        <v>0.49499999999999994</v>
      </c>
      <c r="H400" s="208">
        <f t="shared" si="66"/>
        <v>52.525252525252533</v>
      </c>
      <c r="I400" s="209">
        <f t="shared" ref="I400:I431" si="74">K400*29</f>
        <v>165.3</v>
      </c>
      <c r="J400" s="270">
        <f t="shared" ref="J400:J431" si="75">ROUND(P400,0)</f>
        <v>18</v>
      </c>
      <c r="K400" s="210">
        <v>5.7</v>
      </c>
      <c r="L400" s="271">
        <v>30</v>
      </c>
      <c r="N400" s="244">
        <v>0.246</v>
      </c>
      <c r="O400" s="245">
        <v>0.28000000000000003</v>
      </c>
      <c r="P400" s="249">
        <f>IF(O400&lt;&gt;"",MROUND(O400*64,Param_DSC!$C$60),"")</f>
        <v>18</v>
      </c>
      <c r="Q400" s="249">
        <f t="shared" si="73"/>
        <v>7.1120000000000001</v>
      </c>
      <c r="R400" s="249">
        <f t="shared" si="69"/>
        <v>762</v>
      </c>
      <c r="S400" s="247"/>
      <c r="T400" s="280"/>
      <c r="U400" s="247"/>
    </row>
    <row r="401" spans="1:21" x14ac:dyDescent="0.2">
      <c r="A401" s="195" t="s">
        <v>130</v>
      </c>
      <c r="B401" s="196"/>
      <c r="C401" s="196"/>
      <c r="D401" s="196"/>
      <c r="E401" s="211" t="s">
        <v>372</v>
      </c>
      <c r="F401" s="206">
        <v>0.7</v>
      </c>
      <c r="G401" s="207">
        <f t="shared" si="70"/>
        <v>0.5774999999999999</v>
      </c>
      <c r="H401" s="208">
        <f t="shared" si="66"/>
        <v>45.021645021645028</v>
      </c>
      <c r="I401" s="209">
        <f t="shared" si="74"/>
        <v>156.60000000000002</v>
      </c>
      <c r="J401" s="270">
        <f t="shared" si="75"/>
        <v>18</v>
      </c>
      <c r="K401" s="210">
        <v>5.4</v>
      </c>
      <c r="L401" s="271">
        <v>30</v>
      </c>
      <c r="N401" s="244">
        <v>0.246</v>
      </c>
      <c r="O401" s="245">
        <v>0.27600000000000002</v>
      </c>
      <c r="P401" s="249">
        <f>IF(O401&lt;&gt;"",MROUND(O401*64,Param_DSC!$C$60),"")</f>
        <v>17.5</v>
      </c>
      <c r="Q401" s="249">
        <f t="shared" si="73"/>
        <v>7.0104000000000006</v>
      </c>
      <c r="R401" s="249">
        <f t="shared" si="69"/>
        <v>762</v>
      </c>
      <c r="S401" s="247"/>
      <c r="T401" s="280"/>
      <c r="U401" s="247"/>
    </row>
    <row r="402" spans="1:21" x14ac:dyDescent="0.2">
      <c r="A402" s="195" t="s">
        <v>130</v>
      </c>
      <c r="B402" s="196"/>
      <c r="C402" s="196"/>
      <c r="D402" s="196"/>
      <c r="E402" s="211" t="s">
        <v>354</v>
      </c>
      <c r="F402" s="206">
        <v>0.3</v>
      </c>
      <c r="G402" s="207">
        <f t="shared" si="70"/>
        <v>0.24749999999999997</v>
      </c>
      <c r="H402" s="208">
        <f t="shared" si="66"/>
        <v>105.05050505050507</v>
      </c>
      <c r="I402" s="209">
        <f t="shared" si="74"/>
        <v>255.20000000000002</v>
      </c>
      <c r="J402" s="270">
        <f t="shared" si="75"/>
        <v>19</v>
      </c>
      <c r="K402" s="210">
        <v>8.8000000000000007</v>
      </c>
      <c r="L402" s="271">
        <v>32</v>
      </c>
      <c r="N402" s="244">
        <v>0.246</v>
      </c>
      <c r="O402" s="245">
        <v>0.29599999999999999</v>
      </c>
      <c r="P402" s="249">
        <f>IF(O402&lt;&gt;"",MROUND(O402*64,Param_DSC!$C$60),"")</f>
        <v>19</v>
      </c>
      <c r="Q402" s="249">
        <f t="shared" si="73"/>
        <v>7.5183999999999989</v>
      </c>
      <c r="R402" s="249">
        <f t="shared" si="69"/>
        <v>812.8</v>
      </c>
      <c r="S402" s="247"/>
      <c r="T402" s="280"/>
      <c r="U402" s="247"/>
    </row>
    <row r="403" spans="1:21" x14ac:dyDescent="0.2">
      <c r="A403" s="195" t="s">
        <v>130</v>
      </c>
      <c r="B403" s="196"/>
      <c r="C403" s="196"/>
      <c r="D403" s="196"/>
      <c r="E403" s="211" t="s">
        <v>355</v>
      </c>
      <c r="F403" s="206">
        <v>0.34</v>
      </c>
      <c r="G403" s="207">
        <f t="shared" si="70"/>
        <v>0.28050000000000003</v>
      </c>
      <c r="H403" s="208">
        <f t="shared" ref="H403:H451" si="76">26/G403</f>
        <v>92.691622103386806</v>
      </c>
      <c r="I403" s="209">
        <f t="shared" si="74"/>
        <v>237.79999999999998</v>
      </c>
      <c r="J403" s="270">
        <f t="shared" si="75"/>
        <v>19</v>
      </c>
      <c r="K403" s="210">
        <v>8.1999999999999993</v>
      </c>
      <c r="L403" s="271">
        <v>32</v>
      </c>
      <c r="N403" s="244">
        <v>0.246</v>
      </c>
      <c r="O403" s="245">
        <v>0.29499999999999998</v>
      </c>
      <c r="P403" s="249">
        <f>IF(O403&lt;&gt;"",MROUND(O403*64,Param_DSC!$C$60),"")</f>
        <v>19</v>
      </c>
      <c r="Q403" s="249">
        <f t="shared" si="73"/>
        <v>7.4929999999999994</v>
      </c>
      <c r="R403" s="249">
        <f t="shared" si="69"/>
        <v>812.8</v>
      </c>
      <c r="S403" s="247"/>
      <c r="T403" s="280"/>
      <c r="U403" s="247"/>
    </row>
    <row r="404" spans="1:21" x14ac:dyDescent="0.2">
      <c r="A404" s="195" t="s">
        <v>130</v>
      </c>
      <c r="B404" s="196"/>
      <c r="C404" s="196"/>
      <c r="D404" s="196"/>
      <c r="E404" s="211" t="s">
        <v>356</v>
      </c>
      <c r="F404" s="206">
        <v>0.4</v>
      </c>
      <c r="G404" s="207">
        <f t="shared" si="70"/>
        <v>0.33</v>
      </c>
      <c r="H404" s="208">
        <f t="shared" si="76"/>
        <v>78.787878787878782</v>
      </c>
      <c r="I404" s="209">
        <f t="shared" si="74"/>
        <v>214.60000000000002</v>
      </c>
      <c r="J404" s="270">
        <f t="shared" si="75"/>
        <v>19</v>
      </c>
      <c r="K404" s="210">
        <v>7.4</v>
      </c>
      <c r="L404" s="271">
        <v>32</v>
      </c>
      <c r="N404" s="244">
        <v>0.246</v>
      </c>
      <c r="O404" s="245">
        <v>0.28999999999999998</v>
      </c>
      <c r="P404" s="249">
        <f>IF(O404&lt;&gt;"",MROUND(O404*64,Param_DSC!$C$60),"")</f>
        <v>18.5</v>
      </c>
      <c r="Q404" s="249">
        <f t="shared" si="73"/>
        <v>7.3659999999999988</v>
      </c>
      <c r="R404" s="249">
        <f t="shared" si="69"/>
        <v>812.8</v>
      </c>
      <c r="S404" s="247"/>
      <c r="T404" s="280"/>
      <c r="U404" s="247"/>
    </row>
    <row r="405" spans="1:21" x14ac:dyDescent="0.2">
      <c r="A405" s="195" t="s">
        <v>130</v>
      </c>
      <c r="B405" s="196"/>
      <c r="C405" s="196"/>
      <c r="D405" s="196"/>
      <c r="E405" s="211" t="s">
        <v>357</v>
      </c>
      <c r="F405" s="206">
        <v>0.5</v>
      </c>
      <c r="G405" s="207">
        <f t="shared" si="70"/>
        <v>0.41249999999999998</v>
      </c>
      <c r="H405" s="208">
        <f t="shared" si="76"/>
        <v>63.030303030303031</v>
      </c>
      <c r="I405" s="209">
        <f t="shared" si="74"/>
        <v>182.7</v>
      </c>
      <c r="J405" s="270">
        <f t="shared" si="75"/>
        <v>18</v>
      </c>
      <c r="K405" s="210">
        <v>6.3</v>
      </c>
      <c r="L405" s="271">
        <v>30</v>
      </c>
      <c r="N405" s="244">
        <v>0.246</v>
      </c>
      <c r="O405" s="245">
        <v>0.28399999999999997</v>
      </c>
      <c r="P405" s="249">
        <f>IF(O405&lt;&gt;"",MROUND(O405*64,Param_DSC!$C$60),"")</f>
        <v>18</v>
      </c>
      <c r="Q405" s="249">
        <f t="shared" si="73"/>
        <v>7.2135999999999987</v>
      </c>
      <c r="R405" s="249">
        <f t="shared" si="69"/>
        <v>762</v>
      </c>
      <c r="S405" s="247"/>
      <c r="T405" s="280"/>
      <c r="U405" s="247"/>
    </row>
    <row r="406" spans="1:21" x14ac:dyDescent="0.2">
      <c r="A406" s="195" t="s">
        <v>130</v>
      </c>
      <c r="B406" s="196"/>
      <c r="C406" s="196"/>
      <c r="D406" s="196"/>
      <c r="E406" s="211" t="s">
        <v>358</v>
      </c>
      <c r="F406" s="206">
        <v>0.6</v>
      </c>
      <c r="G406" s="207">
        <f t="shared" si="70"/>
        <v>0.49499999999999994</v>
      </c>
      <c r="H406" s="208">
        <f t="shared" si="76"/>
        <v>52.525252525252533</v>
      </c>
      <c r="I406" s="209">
        <f t="shared" si="74"/>
        <v>171.10000000000002</v>
      </c>
      <c r="J406" s="270">
        <f t="shared" si="75"/>
        <v>18</v>
      </c>
      <c r="K406" s="210">
        <v>5.9</v>
      </c>
      <c r="L406" s="271">
        <v>30</v>
      </c>
      <c r="N406" s="244">
        <v>0.246</v>
      </c>
      <c r="O406" s="245">
        <v>0.28000000000000003</v>
      </c>
      <c r="P406" s="249">
        <f>IF(O406&lt;&gt;"",MROUND(O406*64,Param_DSC!$C$60),"")</f>
        <v>18</v>
      </c>
      <c r="Q406" s="249">
        <f t="shared" si="73"/>
        <v>7.1120000000000001</v>
      </c>
      <c r="R406" s="249">
        <f t="shared" si="69"/>
        <v>762</v>
      </c>
      <c r="S406" s="247"/>
      <c r="T406" s="280"/>
      <c r="U406" s="247"/>
    </row>
    <row r="407" spans="1:21" x14ac:dyDescent="0.2">
      <c r="A407" s="195" t="s">
        <v>130</v>
      </c>
      <c r="B407" s="196"/>
      <c r="C407" s="196"/>
      <c r="D407" s="196"/>
      <c r="E407" s="211" t="s">
        <v>366</v>
      </c>
      <c r="F407" s="206">
        <v>0.25</v>
      </c>
      <c r="G407" s="207">
        <f t="shared" si="70"/>
        <v>0.20624999999999999</v>
      </c>
      <c r="H407" s="208">
        <f t="shared" si="76"/>
        <v>126.06060606060606</v>
      </c>
      <c r="I407" s="209">
        <f t="shared" si="74"/>
        <v>226.2</v>
      </c>
      <c r="J407" s="270">
        <f t="shared" si="75"/>
        <v>25</v>
      </c>
      <c r="K407" s="210">
        <v>7.8</v>
      </c>
      <c r="L407" s="271">
        <v>32</v>
      </c>
      <c r="N407" s="244">
        <v>0.34399999999999997</v>
      </c>
      <c r="O407" s="245">
        <v>0.38</v>
      </c>
      <c r="P407" s="249">
        <f>IF(O407&lt;&gt;"",MROUND(O407*64,Param_DSC!$C$60),"")</f>
        <v>24.5</v>
      </c>
      <c r="Q407" s="249">
        <f t="shared" si="73"/>
        <v>9.6519999999999992</v>
      </c>
      <c r="R407" s="249">
        <f t="shared" si="69"/>
        <v>812.8</v>
      </c>
      <c r="S407" s="259"/>
      <c r="T407" s="280"/>
      <c r="U407" s="247"/>
    </row>
    <row r="408" spans="1:21" x14ac:dyDescent="0.2">
      <c r="A408" s="195" t="s">
        <v>130</v>
      </c>
      <c r="B408" s="196"/>
      <c r="C408" s="196"/>
      <c r="D408" s="196"/>
      <c r="E408" s="211" t="s">
        <v>364</v>
      </c>
      <c r="F408" s="206">
        <v>0.48</v>
      </c>
      <c r="G408" s="207">
        <f t="shared" si="70"/>
        <v>0.39599999999999996</v>
      </c>
      <c r="H408" s="208">
        <f t="shared" si="76"/>
        <v>65.656565656565661</v>
      </c>
      <c r="I408" s="209">
        <f t="shared" si="74"/>
        <v>211.7</v>
      </c>
      <c r="J408" s="270">
        <f t="shared" si="75"/>
        <v>19</v>
      </c>
      <c r="K408" s="210">
        <v>7.3</v>
      </c>
      <c r="L408" s="271">
        <v>26</v>
      </c>
      <c r="N408" s="244">
        <v>0.246</v>
      </c>
      <c r="O408" s="245">
        <v>0.29299999999999998</v>
      </c>
      <c r="P408" s="249">
        <f>IF(O408&lt;&gt;"",MROUND(O408*64,Param_DSC!$C$60),"")</f>
        <v>19</v>
      </c>
      <c r="Q408" s="249">
        <f t="shared" si="73"/>
        <v>7.4421999999999988</v>
      </c>
      <c r="R408" s="249">
        <f t="shared" si="69"/>
        <v>660.4</v>
      </c>
      <c r="S408" s="247"/>
      <c r="T408" s="280"/>
      <c r="U408" s="247"/>
    </row>
    <row r="409" spans="1:21" x14ac:dyDescent="0.2">
      <c r="A409" s="195" t="s">
        <v>130</v>
      </c>
      <c r="B409" s="196"/>
      <c r="C409" s="196"/>
      <c r="D409" s="196"/>
      <c r="E409" s="211" t="s">
        <v>178</v>
      </c>
      <c r="F409" s="215">
        <v>0.3</v>
      </c>
      <c r="G409" s="207">
        <f t="shared" si="70"/>
        <v>0.24749999999999997</v>
      </c>
      <c r="H409" s="208">
        <f t="shared" si="76"/>
        <v>105.05050505050507</v>
      </c>
      <c r="I409" s="209">
        <f t="shared" si="74"/>
        <v>313.20000000000005</v>
      </c>
      <c r="J409" s="270">
        <f t="shared" si="75"/>
        <v>20</v>
      </c>
      <c r="K409" s="210">
        <v>10.8</v>
      </c>
      <c r="L409" s="271">
        <v>32</v>
      </c>
      <c r="N409" s="244">
        <v>0.246</v>
      </c>
      <c r="O409" s="245">
        <v>0.31</v>
      </c>
      <c r="P409" s="249">
        <f>IF(O409&lt;&gt;"",MROUND(O409*64,Param_DSC!$C$60),"")</f>
        <v>20</v>
      </c>
      <c r="Q409" s="249">
        <f t="shared" si="73"/>
        <v>7.8739999999999997</v>
      </c>
      <c r="R409" s="249">
        <f t="shared" si="69"/>
        <v>812.8</v>
      </c>
      <c r="S409" s="247"/>
      <c r="T409" s="280"/>
      <c r="U409" s="247"/>
    </row>
    <row r="410" spans="1:21" x14ac:dyDescent="0.2">
      <c r="A410" s="195" t="s">
        <v>130</v>
      </c>
      <c r="B410" s="196"/>
      <c r="C410" s="196"/>
      <c r="D410" s="196"/>
      <c r="E410" s="211" t="s">
        <v>179</v>
      </c>
      <c r="F410" s="215">
        <v>0.4</v>
      </c>
      <c r="G410" s="207">
        <f t="shared" si="70"/>
        <v>0.33</v>
      </c>
      <c r="H410" s="208">
        <f t="shared" si="76"/>
        <v>78.787878787878782</v>
      </c>
      <c r="I410" s="209">
        <f t="shared" si="74"/>
        <v>269.70000000000005</v>
      </c>
      <c r="J410" s="270">
        <f t="shared" si="75"/>
        <v>20</v>
      </c>
      <c r="K410" s="210">
        <v>9.3000000000000007</v>
      </c>
      <c r="L410" s="271">
        <v>32</v>
      </c>
      <c r="N410" s="244">
        <v>0.246</v>
      </c>
      <c r="O410" s="245">
        <v>0.30399999999999999</v>
      </c>
      <c r="P410" s="249">
        <f>IF(O410&lt;&gt;"",MROUND(O410*64,Param_DSC!$C$60),"")</f>
        <v>19.5</v>
      </c>
      <c r="Q410" s="249">
        <f t="shared" si="73"/>
        <v>7.7215999999999996</v>
      </c>
      <c r="R410" s="249">
        <f t="shared" si="69"/>
        <v>812.8</v>
      </c>
      <c r="S410" s="247"/>
      <c r="T410" s="280"/>
      <c r="U410" s="247"/>
    </row>
    <row r="411" spans="1:21" x14ac:dyDescent="0.2">
      <c r="A411" s="195" t="s">
        <v>130</v>
      </c>
      <c r="B411" s="196"/>
      <c r="C411" s="196"/>
      <c r="D411" s="196"/>
      <c r="E411" s="211" t="s">
        <v>180</v>
      </c>
      <c r="F411" s="215">
        <v>0.5</v>
      </c>
      <c r="G411" s="207">
        <f t="shared" si="70"/>
        <v>0.41249999999999998</v>
      </c>
      <c r="H411" s="208">
        <f t="shared" si="76"/>
        <v>63.030303030303031</v>
      </c>
      <c r="I411" s="209">
        <f t="shared" si="74"/>
        <v>243.60000000000002</v>
      </c>
      <c r="J411" s="270">
        <f t="shared" si="75"/>
        <v>19</v>
      </c>
      <c r="K411" s="210">
        <v>8.4</v>
      </c>
      <c r="L411" s="271">
        <v>30</v>
      </c>
      <c r="N411" s="244">
        <v>0.246</v>
      </c>
      <c r="O411" s="245">
        <v>0.29899999999999999</v>
      </c>
      <c r="P411" s="249">
        <f>IF(O411&lt;&gt;"",MROUND(O411*64,Param_DSC!$C$60),"")</f>
        <v>19</v>
      </c>
      <c r="Q411" s="249">
        <f t="shared" si="73"/>
        <v>7.5945999999999989</v>
      </c>
      <c r="R411" s="249">
        <f t="shared" si="69"/>
        <v>762</v>
      </c>
      <c r="S411" s="247"/>
      <c r="T411" s="280"/>
      <c r="U411" s="247"/>
    </row>
    <row r="412" spans="1:21" x14ac:dyDescent="0.2">
      <c r="A412" s="195" t="s">
        <v>164</v>
      </c>
      <c r="B412" s="196"/>
      <c r="C412" s="196"/>
      <c r="D412" s="196"/>
      <c r="E412" s="211" t="s">
        <v>429</v>
      </c>
      <c r="F412" s="206">
        <v>0.5</v>
      </c>
      <c r="G412" s="207">
        <f t="shared" si="70"/>
        <v>0.41249999999999998</v>
      </c>
      <c r="H412" s="208">
        <f t="shared" si="76"/>
        <v>63.030303030303031</v>
      </c>
      <c r="I412" s="209">
        <f t="shared" si="74"/>
        <v>208.8</v>
      </c>
      <c r="J412" s="270">
        <f t="shared" si="75"/>
        <v>19</v>
      </c>
      <c r="K412" s="210">
        <v>7.2</v>
      </c>
      <c r="L412" s="253"/>
      <c r="N412" s="244"/>
      <c r="O412" s="245">
        <v>0.28899999999999998</v>
      </c>
      <c r="P412" s="249">
        <f>IF(O412&lt;&gt;"",MROUND(O412*64,Param_DSC!$C$60),"")</f>
        <v>18.5</v>
      </c>
      <c r="Q412" s="249">
        <f t="shared" si="73"/>
        <v>7.3405999999999993</v>
      </c>
      <c r="R412" s="249">
        <f t="shared" ref="R412:R451" si="77">L412*25.4</f>
        <v>0</v>
      </c>
      <c r="S412" s="247"/>
      <c r="T412" s="280"/>
      <c r="U412" s="247"/>
    </row>
    <row r="413" spans="1:21" x14ac:dyDescent="0.2">
      <c r="A413" s="195" t="s">
        <v>164</v>
      </c>
      <c r="B413" s="196"/>
      <c r="C413" s="196"/>
      <c r="D413" s="196"/>
      <c r="E413" s="211" t="s">
        <v>451</v>
      </c>
      <c r="F413" s="206">
        <v>0.35</v>
      </c>
      <c r="G413" s="207">
        <f t="shared" ref="G413:G451" si="78">F413*0.825</f>
        <v>0.28874999999999995</v>
      </c>
      <c r="H413" s="208">
        <f t="shared" si="76"/>
        <v>90.043290043290057</v>
      </c>
      <c r="I413" s="209">
        <f t="shared" si="74"/>
        <v>234.89999999999998</v>
      </c>
      <c r="J413" s="270">
        <f t="shared" si="75"/>
        <v>15</v>
      </c>
      <c r="K413" s="210">
        <v>8.1</v>
      </c>
      <c r="L413" s="271"/>
      <c r="N413" s="244"/>
      <c r="O413" s="245">
        <v>0.22900000000000001</v>
      </c>
      <c r="P413" s="249">
        <f>IF(O413&lt;&gt;"",MROUND(O413*64,Param_DSC!$C$60),"")</f>
        <v>14.5</v>
      </c>
      <c r="Q413" s="249">
        <f t="shared" si="73"/>
        <v>5.8166000000000002</v>
      </c>
      <c r="R413" s="249">
        <f t="shared" si="77"/>
        <v>0</v>
      </c>
      <c r="S413" s="247"/>
      <c r="T413" s="280"/>
      <c r="U413" s="247"/>
    </row>
    <row r="414" spans="1:21" x14ac:dyDescent="0.2">
      <c r="A414" s="195" t="s">
        <v>164</v>
      </c>
      <c r="B414" s="196"/>
      <c r="C414" s="196"/>
      <c r="D414" s="196"/>
      <c r="E414" s="211" t="s">
        <v>452</v>
      </c>
      <c r="F414" s="206">
        <v>0.4</v>
      </c>
      <c r="G414" s="207">
        <f t="shared" si="78"/>
        <v>0.33</v>
      </c>
      <c r="H414" s="208">
        <f t="shared" si="76"/>
        <v>78.787878787878782</v>
      </c>
      <c r="I414" s="209">
        <f t="shared" si="74"/>
        <v>205.89999999999998</v>
      </c>
      <c r="J414" s="270">
        <f t="shared" si="75"/>
        <v>15</v>
      </c>
      <c r="K414" s="210">
        <v>7.1</v>
      </c>
      <c r="L414" s="271"/>
      <c r="N414" s="244"/>
      <c r="O414" s="245">
        <v>0.22500000000000001</v>
      </c>
      <c r="P414" s="249">
        <f>IF(O414&lt;&gt;"",MROUND(O414*64,Param_DSC!$C$60),"")</f>
        <v>14.5</v>
      </c>
      <c r="Q414" s="249">
        <f t="shared" si="73"/>
        <v>5.7149999999999999</v>
      </c>
      <c r="R414" s="249">
        <f t="shared" si="77"/>
        <v>0</v>
      </c>
      <c r="S414" s="247"/>
      <c r="T414" s="280"/>
      <c r="U414" s="247"/>
    </row>
    <row r="415" spans="1:21" x14ac:dyDescent="0.2">
      <c r="A415" s="195" t="s">
        <v>164</v>
      </c>
      <c r="B415" s="196"/>
      <c r="C415" s="196"/>
      <c r="D415" s="196"/>
      <c r="E415" s="211" t="s">
        <v>453</v>
      </c>
      <c r="F415" s="206">
        <v>0.5</v>
      </c>
      <c r="G415" s="207">
        <f t="shared" si="78"/>
        <v>0.41249999999999998</v>
      </c>
      <c r="H415" s="208">
        <f t="shared" si="76"/>
        <v>63.030303030303031</v>
      </c>
      <c r="I415" s="209">
        <f t="shared" si="74"/>
        <v>176.89999999999998</v>
      </c>
      <c r="J415" s="270">
        <f t="shared" si="75"/>
        <v>14</v>
      </c>
      <c r="K415" s="210">
        <v>6.1</v>
      </c>
      <c r="L415" s="271"/>
      <c r="N415" s="244"/>
      <c r="O415" s="245">
        <v>0.217</v>
      </c>
      <c r="P415" s="249">
        <f>IF(O415&lt;&gt;"",MROUND(O415*64,Param_DSC!$C$60),"")</f>
        <v>14</v>
      </c>
      <c r="Q415" s="249">
        <f t="shared" si="73"/>
        <v>5.5118</v>
      </c>
      <c r="R415" s="249">
        <f t="shared" si="77"/>
        <v>0</v>
      </c>
      <c r="S415" s="247"/>
      <c r="T415" s="280"/>
      <c r="U415" s="247"/>
    </row>
    <row r="416" spans="1:21" x14ac:dyDescent="0.2">
      <c r="A416" s="195" t="s">
        <v>164</v>
      </c>
      <c r="B416" s="196"/>
      <c r="C416" s="196"/>
      <c r="D416" s="196"/>
      <c r="E416" s="211" t="s">
        <v>454</v>
      </c>
      <c r="F416" s="206">
        <v>0.6</v>
      </c>
      <c r="G416" s="207">
        <f t="shared" si="78"/>
        <v>0.49499999999999994</v>
      </c>
      <c r="H416" s="208">
        <f t="shared" si="76"/>
        <v>52.525252525252533</v>
      </c>
      <c r="I416" s="209">
        <f t="shared" si="74"/>
        <v>153.69999999999999</v>
      </c>
      <c r="J416" s="270">
        <f t="shared" si="75"/>
        <v>14</v>
      </c>
      <c r="K416" s="210">
        <v>5.3</v>
      </c>
      <c r="L416" s="271"/>
      <c r="N416" s="244"/>
      <c r="O416" s="245">
        <v>0.21199999999999999</v>
      </c>
      <c r="P416" s="249">
        <f>IF(O416&lt;&gt;"",MROUND(O416*64,Param_DSC!$C$60),"")</f>
        <v>13.5</v>
      </c>
      <c r="Q416" s="249">
        <f t="shared" si="73"/>
        <v>5.3847999999999994</v>
      </c>
      <c r="R416" s="249">
        <f t="shared" si="77"/>
        <v>0</v>
      </c>
      <c r="S416" s="247"/>
      <c r="T416" s="280"/>
      <c r="U416" s="247"/>
    </row>
    <row r="417" spans="1:21" x14ac:dyDescent="0.2">
      <c r="A417" s="195" t="s">
        <v>164</v>
      </c>
      <c r="B417" s="196"/>
      <c r="C417" s="196"/>
      <c r="D417" s="196"/>
      <c r="E417" s="211" t="s">
        <v>455</v>
      </c>
      <c r="F417" s="206">
        <v>0.35</v>
      </c>
      <c r="G417" s="207">
        <f t="shared" si="78"/>
        <v>0.28874999999999995</v>
      </c>
      <c r="H417" s="208">
        <f t="shared" si="76"/>
        <v>90.043290043290057</v>
      </c>
      <c r="I417" s="209">
        <f t="shared" si="74"/>
        <v>234.89999999999998</v>
      </c>
      <c r="J417" s="270">
        <f t="shared" si="75"/>
        <v>15</v>
      </c>
      <c r="K417" s="210">
        <v>8.1</v>
      </c>
      <c r="L417" s="271"/>
      <c r="N417" s="244"/>
      <c r="O417" s="245">
        <v>0.22900000000000001</v>
      </c>
      <c r="P417" s="249">
        <f>IF(O417&lt;&gt;"",MROUND(O417*64,Param_DSC!$C$60),"")</f>
        <v>14.5</v>
      </c>
      <c r="Q417" s="249">
        <f t="shared" si="73"/>
        <v>5.8166000000000002</v>
      </c>
      <c r="R417" s="249">
        <f t="shared" si="77"/>
        <v>0</v>
      </c>
      <c r="S417" s="247"/>
      <c r="T417" s="280"/>
      <c r="U417" s="247"/>
    </row>
    <row r="418" spans="1:21" x14ac:dyDescent="0.2">
      <c r="A418" s="195" t="s">
        <v>164</v>
      </c>
      <c r="B418" s="196"/>
      <c r="C418" s="196"/>
      <c r="D418" s="196"/>
      <c r="E418" s="211" t="s">
        <v>456</v>
      </c>
      <c r="F418" s="206">
        <v>0.4</v>
      </c>
      <c r="G418" s="207">
        <f t="shared" si="78"/>
        <v>0.33</v>
      </c>
      <c r="H418" s="208">
        <f t="shared" si="76"/>
        <v>78.787878787878782</v>
      </c>
      <c r="I418" s="209">
        <f t="shared" si="74"/>
        <v>205.89999999999998</v>
      </c>
      <c r="J418" s="270">
        <f t="shared" si="75"/>
        <v>15</v>
      </c>
      <c r="K418" s="210">
        <v>7.1</v>
      </c>
      <c r="L418" s="271"/>
      <c r="N418" s="244"/>
      <c r="O418" s="245">
        <v>0.22500000000000001</v>
      </c>
      <c r="P418" s="249">
        <f>IF(O418&lt;&gt;"",MROUND(O418*64,Param_DSC!$C$60),"")</f>
        <v>14.5</v>
      </c>
      <c r="Q418" s="249">
        <f t="shared" si="73"/>
        <v>5.7149999999999999</v>
      </c>
      <c r="R418" s="249">
        <f t="shared" si="77"/>
        <v>0</v>
      </c>
      <c r="S418" s="247"/>
      <c r="T418" s="280"/>
      <c r="U418" s="247"/>
    </row>
    <row r="419" spans="1:21" x14ac:dyDescent="0.2">
      <c r="A419" s="195" t="s">
        <v>164</v>
      </c>
      <c r="B419" s="196"/>
      <c r="C419" s="196"/>
      <c r="D419" s="196"/>
      <c r="E419" s="211" t="s">
        <v>457</v>
      </c>
      <c r="F419" s="206">
        <v>0.5</v>
      </c>
      <c r="G419" s="207">
        <f t="shared" si="78"/>
        <v>0.41249999999999998</v>
      </c>
      <c r="H419" s="208">
        <f t="shared" si="76"/>
        <v>63.030303030303031</v>
      </c>
      <c r="I419" s="209">
        <f t="shared" si="74"/>
        <v>176.89999999999998</v>
      </c>
      <c r="J419" s="270">
        <f t="shared" si="75"/>
        <v>14</v>
      </c>
      <c r="K419" s="210">
        <v>6.1</v>
      </c>
      <c r="L419" s="271"/>
      <c r="N419" s="244"/>
      <c r="O419" s="245">
        <v>0.217</v>
      </c>
      <c r="P419" s="249">
        <f>IF(O419&lt;&gt;"",MROUND(O419*64,Param_DSC!$C$60),"")</f>
        <v>14</v>
      </c>
      <c r="Q419" s="249">
        <f t="shared" si="73"/>
        <v>5.5118</v>
      </c>
      <c r="R419" s="249">
        <f t="shared" si="77"/>
        <v>0</v>
      </c>
      <c r="S419" s="247"/>
      <c r="T419" s="280"/>
      <c r="U419" s="247"/>
    </row>
    <row r="420" spans="1:21" x14ac:dyDescent="0.2">
      <c r="A420" s="195" t="s">
        <v>164</v>
      </c>
      <c r="B420" s="196"/>
      <c r="C420" s="196"/>
      <c r="D420" s="196"/>
      <c r="E420" s="211" t="s">
        <v>458</v>
      </c>
      <c r="F420" s="206">
        <v>0.6</v>
      </c>
      <c r="G420" s="207">
        <f t="shared" si="78"/>
        <v>0.49499999999999994</v>
      </c>
      <c r="H420" s="208">
        <f t="shared" si="76"/>
        <v>52.525252525252533</v>
      </c>
      <c r="I420" s="209">
        <f t="shared" si="74"/>
        <v>153.69999999999999</v>
      </c>
      <c r="J420" s="270">
        <f t="shared" si="75"/>
        <v>14</v>
      </c>
      <c r="K420" s="210">
        <v>5.3</v>
      </c>
      <c r="L420" s="271"/>
      <c r="N420" s="244"/>
      <c r="O420" s="245">
        <v>0.21199999999999999</v>
      </c>
      <c r="P420" s="249">
        <f>IF(O420&lt;&gt;"",MROUND(O420*64,Param_DSC!$C$60),"")</f>
        <v>13.5</v>
      </c>
      <c r="Q420" s="249">
        <f t="shared" si="73"/>
        <v>5.3847999999999994</v>
      </c>
      <c r="R420" s="249">
        <f t="shared" si="77"/>
        <v>0</v>
      </c>
      <c r="S420" s="247"/>
      <c r="T420" s="280"/>
      <c r="U420" s="247"/>
    </row>
    <row r="421" spans="1:21" x14ac:dyDescent="0.2">
      <c r="A421" s="195" t="s">
        <v>164</v>
      </c>
      <c r="B421" s="196"/>
      <c r="C421" s="196"/>
      <c r="D421" s="196"/>
      <c r="E421" s="211" t="s">
        <v>459</v>
      </c>
      <c r="F421" s="206">
        <v>0.35</v>
      </c>
      <c r="G421" s="207">
        <f t="shared" si="78"/>
        <v>0.28874999999999995</v>
      </c>
      <c r="H421" s="208">
        <f t="shared" si="76"/>
        <v>90.043290043290057</v>
      </c>
      <c r="I421" s="209">
        <f t="shared" si="74"/>
        <v>234.89999999999998</v>
      </c>
      <c r="J421" s="270">
        <f t="shared" si="75"/>
        <v>15</v>
      </c>
      <c r="K421" s="210">
        <v>8.1</v>
      </c>
      <c r="L421" s="271"/>
      <c r="N421" s="244"/>
      <c r="O421" s="245">
        <v>0.22900000000000001</v>
      </c>
      <c r="P421" s="249">
        <f>IF(O421&lt;&gt;"",MROUND(O421*64,Param_DSC!$C$60),"")</f>
        <v>14.5</v>
      </c>
      <c r="Q421" s="249">
        <f t="shared" si="73"/>
        <v>5.8166000000000002</v>
      </c>
      <c r="R421" s="249">
        <f t="shared" si="77"/>
        <v>0</v>
      </c>
      <c r="S421" s="247"/>
      <c r="T421" s="280"/>
      <c r="U421" s="247"/>
    </row>
    <row r="422" spans="1:21" x14ac:dyDescent="0.2">
      <c r="A422" s="195" t="s">
        <v>164</v>
      </c>
      <c r="B422" s="196"/>
      <c r="C422" s="196"/>
      <c r="D422" s="196"/>
      <c r="E422" s="211" t="s">
        <v>460</v>
      </c>
      <c r="F422" s="206">
        <v>0.4</v>
      </c>
      <c r="G422" s="207">
        <f t="shared" si="78"/>
        <v>0.33</v>
      </c>
      <c r="H422" s="208">
        <f t="shared" si="76"/>
        <v>78.787878787878782</v>
      </c>
      <c r="I422" s="209">
        <f t="shared" si="74"/>
        <v>205.89999999999998</v>
      </c>
      <c r="J422" s="270">
        <f t="shared" si="75"/>
        <v>15</v>
      </c>
      <c r="K422" s="210">
        <v>7.1</v>
      </c>
      <c r="L422" s="271"/>
      <c r="N422" s="244"/>
      <c r="O422" s="245">
        <v>0.22500000000000001</v>
      </c>
      <c r="P422" s="249">
        <f>IF(O422&lt;&gt;"",MROUND(O422*64,Param_DSC!$C$60),"")</f>
        <v>14.5</v>
      </c>
      <c r="Q422" s="249">
        <f t="shared" si="73"/>
        <v>5.7149999999999999</v>
      </c>
      <c r="R422" s="249">
        <f t="shared" si="77"/>
        <v>0</v>
      </c>
      <c r="S422" s="247"/>
      <c r="T422" s="280"/>
      <c r="U422" s="247"/>
    </row>
    <row r="423" spans="1:21" x14ac:dyDescent="0.2">
      <c r="A423" s="195" t="s">
        <v>164</v>
      </c>
      <c r="B423" s="196"/>
      <c r="C423" s="196"/>
      <c r="D423" s="196"/>
      <c r="E423" s="211" t="s">
        <v>461</v>
      </c>
      <c r="F423" s="206">
        <v>0.5</v>
      </c>
      <c r="G423" s="207">
        <f t="shared" si="78"/>
        <v>0.41249999999999998</v>
      </c>
      <c r="H423" s="208">
        <f t="shared" si="76"/>
        <v>63.030303030303031</v>
      </c>
      <c r="I423" s="209">
        <f t="shared" si="74"/>
        <v>176.89999999999998</v>
      </c>
      <c r="J423" s="270">
        <f t="shared" si="75"/>
        <v>14</v>
      </c>
      <c r="K423" s="210">
        <v>6.1</v>
      </c>
      <c r="L423" s="271"/>
      <c r="N423" s="244"/>
      <c r="O423" s="245">
        <v>0.217</v>
      </c>
      <c r="P423" s="249">
        <f>IF(O423&lt;&gt;"",MROUND(O423*64,Param_DSC!$C$60),"")</f>
        <v>14</v>
      </c>
      <c r="Q423" s="249">
        <f t="shared" si="73"/>
        <v>5.5118</v>
      </c>
      <c r="R423" s="249">
        <f t="shared" si="77"/>
        <v>0</v>
      </c>
      <c r="S423" s="247"/>
      <c r="T423" s="280"/>
      <c r="U423" s="247"/>
    </row>
    <row r="424" spans="1:21" x14ac:dyDescent="0.2">
      <c r="A424" s="195" t="s">
        <v>164</v>
      </c>
      <c r="B424" s="196"/>
      <c r="C424" s="196"/>
      <c r="D424" s="196"/>
      <c r="E424" s="211" t="s">
        <v>462</v>
      </c>
      <c r="F424" s="206">
        <v>0.6</v>
      </c>
      <c r="G424" s="207">
        <f t="shared" si="78"/>
        <v>0.49499999999999994</v>
      </c>
      <c r="H424" s="208">
        <f t="shared" si="76"/>
        <v>52.525252525252533</v>
      </c>
      <c r="I424" s="209">
        <f t="shared" si="74"/>
        <v>153.69999999999999</v>
      </c>
      <c r="J424" s="270">
        <f t="shared" si="75"/>
        <v>14</v>
      </c>
      <c r="K424" s="210">
        <v>5.3</v>
      </c>
      <c r="L424" s="271"/>
      <c r="N424" s="244"/>
      <c r="O424" s="245">
        <v>0.21199999999999999</v>
      </c>
      <c r="P424" s="249">
        <f>IF(O424&lt;&gt;"",MROUND(O424*64,Param_DSC!$C$60),"")</f>
        <v>13.5</v>
      </c>
      <c r="Q424" s="249">
        <f t="shared" si="73"/>
        <v>5.3847999999999994</v>
      </c>
      <c r="R424" s="249">
        <f t="shared" si="77"/>
        <v>0</v>
      </c>
      <c r="S424" s="247"/>
      <c r="T424" s="280"/>
      <c r="U424" s="247"/>
    </row>
    <row r="425" spans="1:21" x14ac:dyDescent="0.2">
      <c r="A425" s="195" t="s">
        <v>164</v>
      </c>
      <c r="B425" s="196"/>
      <c r="C425" s="196"/>
      <c r="D425" s="196"/>
      <c r="E425" s="211" t="s">
        <v>430</v>
      </c>
      <c r="F425" s="206">
        <v>0.3</v>
      </c>
      <c r="G425" s="207">
        <f t="shared" si="78"/>
        <v>0.24749999999999997</v>
      </c>
      <c r="H425" s="208">
        <f t="shared" si="76"/>
        <v>105.05050505050507</v>
      </c>
      <c r="I425" s="209">
        <f t="shared" si="74"/>
        <v>287.10000000000002</v>
      </c>
      <c r="J425" s="270">
        <f t="shared" si="75"/>
        <v>20</v>
      </c>
      <c r="K425" s="210">
        <v>9.9</v>
      </c>
      <c r="L425" s="253"/>
      <c r="N425" s="244"/>
      <c r="O425" s="245">
        <v>0.30399999999999999</v>
      </c>
      <c r="P425" s="249">
        <f>IF(O425&lt;&gt;"",MROUND(O425*64,Param_DSC!$C$60),"")</f>
        <v>19.5</v>
      </c>
      <c r="Q425" s="249">
        <f t="shared" si="73"/>
        <v>7.7215999999999996</v>
      </c>
      <c r="R425" s="249">
        <f t="shared" si="77"/>
        <v>0</v>
      </c>
      <c r="S425" s="247"/>
      <c r="T425" s="280"/>
      <c r="U425" s="247"/>
    </row>
    <row r="426" spans="1:21" x14ac:dyDescent="0.2">
      <c r="A426" s="195" t="s">
        <v>164</v>
      </c>
      <c r="B426" s="196"/>
      <c r="C426" s="196"/>
      <c r="D426" s="196"/>
      <c r="E426" s="211" t="s">
        <v>431</v>
      </c>
      <c r="F426" s="206">
        <v>0.35</v>
      </c>
      <c r="G426" s="207">
        <f t="shared" si="78"/>
        <v>0.28874999999999995</v>
      </c>
      <c r="H426" s="208">
        <f t="shared" si="76"/>
        <v>90.043290043290057</v>
      </c>
      <c r="I426" s="209">
        <f t="shared" si="74"/>
        <v>252.29999999999998</v>
      </c>
      <c r="J426" s="270">
        <f t="shared" si="75"/>
        <v>19</v>
      </c>
      <c r="K426" s="210">
        <v>8.6999999999999993</v>
      </c>
      <c r="L426" s="271"/>
      <c r="N426" s="244"/>
      <c r="O426" s="245">
        <v>0.29799999999999999</v>
      </c>
      <c r="P426" s="249">
        <f>IF(O426&lt;&gt;"",MROUND(O426*64,Param_DSC!$C$60),"")</f>
        <v>19</v>
      </c>
      <c r="Q426" s="249">
        <f t="shared" si="73"/>
        <v>7.5691999999999995</v>
      </c>
      <c r="R426" s="249">
        <f t="shared" si="77"/>
        <v>0</v>
      </c>
      <c r="S426" s="247"/>
      <c r="T426" s="280"/>
      <c r="U426" s="247"/>
    </row>
    <row r="427" spans="1:21" x14ac:dyDescent="0.2">
      <c r="A427" s="195" t="s">
        <v>164</v>
      </c>
      <c r="B427" s="196"/>
      <c r="C427" s="196"/>
      <c r="D427" s="196"/>
      <c r="E427" s="211" t="s">
        <v>432</v>
      </c>
      <c r="F427" s="206">
        <v>0.4</v>
      </c>
      <c r="G427" s="207">
        <f t="shared" si="78"/>
        <v>0.33</v>
      </c>
      <c r="H427" s="208">
        <f t="shared" si="76"/>
        <v>78.787878787878782</v>
      </c>
      <c r="I427" s="209">
        <f t="shared" si="74"/>
        <v>237.79999999999998</v>
      </c>
      <c r="J427" s="270">
        <f t="shared" si="75"/>
        <v>19</v>
      </c>
      <c r="K427" s="210">
        <v>8.1999999999999993</v>
      </c>
      <c r="L427" s="271"/>
      <c r="N427" s="244"/>
      <c r="O427" s="245">
        <v>0.29499999999999998</v>
      </c>
      <c r="P427" s="249">
        <f>IF(O427&lt;&gt;"",MROUND(O427*64,Param_DSC!$C$60),"")</f>
        <v>19</v>
      </c>
      <c r="Q427" s="249">
        <f t="shared" si="73"/>
        <v>7.4929999999999994</v>
      </c>
      <c r="R427" s="249">
        <f t="shared" si="77"/>
        <v>0</v>
      </c>
      <c r="S427" s="247"/>
      <c r="T427" s="280"/>
      <c r="U427" s="247"/>
    </row>
    <row r="428" spans="1:21" x14ac:dyDescent="0.2">
      <c r="A428" s="195" t="s">
        <v>164</v>
      </c>
      <c r="B428" s="196"/>
      <c r="C428" s="196"/>
      <c r="D428" s="196"/>
      <c r="E428" s="211" t="s">
        <v>433</v>
      </c>
      <c r="F428" s="206">
        <v>0.5</v>
      </c>
      <c r="G428" s="207">
        <f t="shared" si="78"/>
        <v>0.41249999999999998</v>
      </c>
      <c r="H428" s="208">
        <f t="shared" si="76"/>
        <v>63.030303030303031</v>
      </c>
      <c r="I428" s="209">
        <f t="shared" si="74"/>
        <v>200.10000000000002</v>
      </c>
      <c r="J428" s="270">
        <f t="shared" si="75"/>
        <v>19</v>
      </c>
      <c r="K428" s="210">
        <v>6.9</v>
      </c>
      <c r="L428" s="271"/>
      <c r="N428" s="244"/>
      <c r="O428" s="245">
        <v>0.28999999999999998</v>
      </c>
      <c r="P428" s="249">
        <f>IF(O428&lt;&gt;"",MROUND(O428*64,Param_DSC!$C$60),"")</f>
        <v>18.5</v>
      </c>
      <c r="Q428" s="249">
        <f t="shared" si="73"/>
        <v>7.3659999999999988</v>
      </c>
      <c r="R428" s="249">
        <f t="shared" si="77"/>
        <v>0</v>
      </c>
      <c r="S428" s="247"/>
      <c r="T428" s="280"/>
      <c r="U428" s="247"/>
    </row>
    <row r="429" spans="1:21" x14ac:dyDescent="0.2">
      <c r="A429" s="195" t="s">
        <v>164</v>
      </c>
      <c r="B429" s="196"/>
      <c r="C429" s="196"/>
      <c r="D429" s="196"/>
      <c r="E429" s="211" t="s">
        <v>434</v>
      </c>
      <c r="F429" s="206">
        <v>0.6</v>
      </c>
      <c r="G429" s="207">
        <f t="shared" si="78"/>
        <v>0.49499999999999994</v>
      </c>
      <c r="H429" s="208">
        <f t="shared" si="76"/>
        <v>52.525252525252533</v>
      </c>
      <c r="I429" s="209">
        <f t="shared" si="74"/>
        <v>194.3</v>
      </c>
      <c r="J429" s="270">
        <f t="shared" si="75"/>
        <v>19</v>
      </c>
      <c r="K429" s="210">
        <v>6.7</v>
      </c>
      <c r="L429" s="271"/>
      <c r="N429" s="244"/>
      <c r="O429" s="245">
        <v>0.28699999999999998</v>
      </c>
      <c r="P429" s="249">
        <f>IF(O429&lt;&gt;"",MROUND(O429*64,Param_DSC!$C$60),"")</f>
        <v>18.5</v>
      </c>
      <c r="Q429" s="249">
        <f t="shared" si="73"/>
        <v>7.2897999999999987</v>
      </c>
      <c r="R429" s="249">
        <f t="shared" si="77"/>
        <v>0</v>
      </c>
      <c r="S429" s="247"/>
      <c r="T429" s="280"/>
      <c r="U429" s="247"/>
    </row>
    <row r="430" spans="1:21" x14ac:dyDescent="0.2">
      <c r="A430" s="195" t="s">
        <v>164</v>
      </c>
      <c r="B430" s="196"/>
      <c r="C430" s="196"/>
      <c r="D430" s="196"/>
      <c r="E430" s="211" t="s">
        <v>435</v>
      </c>
      <c r="F430" s="206">
        <v>0.3</v>
      </c>
      <c r="G430" s="207">
        <f t="shared" si="78"/>
        <v>0.24749999999999997</v>
      </c>
      <c r="H430" s="208">
        <f t="shared" si="76"/>
        <v>105.05050505050507</v>
      </c>
      <c r="I430" s="209">
        <f t="shared" si="74"/>
        <v>287.10000000000002</v>
      </c>
      <c r="J430" s="270">
        <f t="shared" si="75"/>
        <v>20</v>
      </c>
      <c r="K430" s="210">
        <v>9.9</v>
      </c>
      <c r="L430" s="271"/>
      <c r="N430" s="244"/>
      <c r="O430" s="245">
        <v>0.30399999999999999</v>
      </c>
      <c r="P430" s="249">
        <f>IF(O430&lt;&gt;"",MROUND(O430*64,Param_DSC!$C$60),"")</f>
        <v>19.5</v>
      </c>
      <c r="Q430" s="249">
        <f t="shared" si="73"/>
        <v>7.7215999999999996</v>
      </c>
      <c r="R430" s="249">
        <f t="shared" si="77"/>
        <v>0</v>
      </c>
      <c r="S430" s="247"/>
      <c r="T430" s="280"/>
      <c r="U430" s="247"/>
    </row>
    <row r="431" spans="1:21" x14ac:dyDescent="0.2">
      <c r="A431" s="195" t="s">
        <v>164</v>
      </c>
      <c r="B431" s="196"/>
      <c r="C431" s="196"/>
      <c r="D431" s="196"/>
      <c r="E431" s="211" t="s">
        <v>436</v>
      </c>
      <c r="F431" s="206">
        <v>0.35</v>
      </c>
      <c r="G431" s="207">
        <f t="shared" si="78"/>
        <v>0.28874999999999995</v>
      </c>
      <c r="H431" s="208">
        <f t="shared" si="76"/>
        <v>90.043290043290057</v>
      </c>
      <c r="I431" s="209">
        <f t="shared" si="74"/>
        <v>252.29999999999998</v>
      </c>
      <c r="J431" s="270">
        <f t="shared" si="75"/>
        <v>19</v>
      </c>
      <c r="K431" s="210">
        <v>8.6999999999999993</v>
      </c>
      <c r="L431" s="271"/>
      <c r="N431" s="244"/>
      <c r="O431" s="245">
        <v>0.29799999999999999</v>
      </c>
      <c r="P431" s="249">
        <f>IF(O431&lt;&gt;"",MROUND(O431*64,Param_DSC!$C$60),"")</f>
        <v>19</v>
      </c>
      <c r="Q431" s="249">
        <f t="shared" si="73"/>
        <v>7.5691999999999995</v>
      </c>
      <c r="R431" s="249">
        <f t="shared" si="77"/>
        <v>0</v>
      </c>
      <c r="S431" s="247"/>
      <c r="T431" s="280"/>
      <c r="U431" s="247"/>
    </row>
    <row r="432" spans="1:21" x14ac:dyDescent="0.2">
      <c r="A432" s="195" t="s">
        <v>164</v>
      </c>
      <c r="B432" s="196"/>
      <c r="C432" s="196"/>
      <c r="D432" s="196"/>
      <c r="E432" s="211" t="s">
        <v>437</v>
      </c>
      <c r="F432" s="206">
        <v>0.4</v>
      </c>
      <c r="G432" s="207">
        <f t="shared" si="78"/>
        <v>0.33</v>
      </c>
      <c r="H432" s="208">
        <f t="shared" si="76"/>
        <v>78.787878787878782</v>
      </c>
      <c r="I432" s="209">
        <f t="shared" ref="I432:I451" si="79">K432*29</f>
        <v>237.79999999999998</v>
      </c>
      <c r="J432" s="270">
        <f t="shared" ref="J432:J451" si="80">ROUND(P432,0)</f>
        <v>19</v>
      </c>
      <c r="K432" s="210">
        <v>8.1999999999999993</v>
      </c>
      <c r="L432" s="271"/>
      <c r="N432" s="244"/>
      <c r="O432" s="245">
        <v>0.29499999999999998</v>
      </c>
      <c r="P432" s="249">
        <f>IF(O432&lt;&gt;"",MROUND(O432*64,Param_DSC!$C$60),"")</f>
        <v>19</v>
      </c>
      <c r="Q432" s="249">
        <f t="shared" si="73"/>
        <v>7.4929999999999994</v>
      </c>
      <c r="R432" s="249">
        <f t="shared" si="77"/>
        <v>0</v>
      </c>
      <c r="S432" s="247"/>
      <c r="T432" s="280"/>
      <c r="U432" s="247"/>
    </row>
    <row r="433" spans="1:21" x14ac:dyDescent="0.2">
      <c r="A433" s="195" t="s">
        <v>164</v>
      </c>
      <c r="B433" s="196"/>
      <c r="C433" s="196"/>
      <c r="D433" s="196"/>
      <c r="E433" s="211" t="s">
        <v>438</v>
      </c>
      <c r="F433" s="206">
        <v>0.5</v>
      </c>
      <c r="G433" s="207">
        <f t="shared" si="78"/>
        <v>0.41249999999999998</v>
      </c>
      <c r="H433" s="208">
        <f t="shared" si="76"/>
        <v>63.030303030303031</v>
      </c>
      <c r="I433" s="209">
        <f t="shared" si="79"/>
        <v>200.10000000000002</v>
      </c>
      <c r="J433" s="270">
        <f t="shared" si="80"/>
        <v>19</v>
      </c>
      <c r="K433" s="210">
        <v>6.9</v>
      </c>
      <c r="L433" s="271"/>
      <c r="N433" s="244"/>
      <c r="O433" s="245">
        <v>0.28999999999999998</v>
      </c>
      <c r="P433" s="249">
        <f>IF(O433&lt;&gt;"",MROUND(O433*64,Param_DSC!$C$60),"")</f>
        <v>18.5</v>
      </c>
      <c r="Q433" s="249">
        <f t="shared" si="73"/>
        <v>7.3659999999999988</v>
      </c>
      <c r="R433" s="249">
        <f t="shared" si="77"/>
        <v>0</v>
      </c>
      <c r="S433" s="247"/>
      <c r="T433" s="280"/>
      <c r="U433" s="247"/>
    </row>
    <row r="434" spans="1:21" x14ac:dyDescent="0.2">
      <c r="A434" s="195" t="s">
        <v>164</v>
      </c>
      <c r="B434" s="196"/>
      <c r="C434" s="196"/>
      <c r="D434" s="196"/>
      <c r="E434" s="211" t="s">
        <v>439</v>
      </c>
      <c r="F434" s="206">
        <v>0.6</v>
      </c>
      <c r="G434" s="207">
        <f t="shared" si="78"/>
        <v>0.49499999999999994</v>
      </c>
      <c r="H434" s="208">
        <f t="shared" si="76"/>
        <v>52.525252525252533</v>
      </c>
      <c r="I434" s="209">
        <f t="shared" si="79"/>
        <v>194.3</v>
      </c>
      <c r="J434" s="270">
        <f t="shared" si="80"/>
        <v>19</v>
      </c>
      <c r="K434" s="210">
        <v>6.7</v>
      </c>
      <c r="L434" s="271"/>
      <c r="N434" s="244"/>
      <c r="O434" s="245">
        <v>0.28699999999999998</v>
      </c>
      <c r="P434" s="249">
        <f>IF(O434&lt;&gt;"",MROUND(O434*64,Param_DSC!$C$60),"")</f>
        <v>18.5</v>
      </c>
      <c r="Q434" s="249">
        <f t="shared" si="73"/>
        <v>7.2897999999999987</v>
      </c>
      <c r="R434" s="249">
        <f t="shared" si="77"/>
        <v>0</v>
      </c>
      <c r="S434" s="247"/>
      <c r="T434" s="280"/>
      <c r="U434" s="247"/>
    </row>
    <row r="435" spans="1:21" x14ac:dyDescent="0.2">
      <c r="A435" s="195" t="s">
        <v>164</v>
      </c>
      <c r="B435" s="196"/>
      <c r="C435" s="196"/>
      <c r="D435" s="196"/>
      <c r="E435" s="211" t="s">
        <v>440</v>
      </c>
      <c r="F435" s="206">
        <v>0.3</v>
      </c>
      <c r="G435" s="207">
        <f t="shared" si="78"/>
        <v>0.24749999999999997</v>
      </c>
      <c r="H435" s="208">
        <f t="shared" si="76"/>
        <v>105.05050505050507</v>
      </c>
      <c r="I435" s="209">
        <f t="shared" si="79"/>
        <v>287.10000000000002</v>
      </c>
      <c r="J435" s="270">
        <f t="shared" si="80"/>
        <v>20</v>
      </c>
      <c r="K435" s="210">
        <v>9.9</v>
      </c>
      <c r="L435" s="271"/>
      <c r="N435" s="244"/>
      <c r="O435" s="245">
        <v>0.30399999999999999</v>
      </c>
      <c r="P435" s="249">
        <f>IF(O435&lt;&gt;"",MROUND(O435*64,Param_DSC!$C$60),"")</f>
        <v>19.5</v>
      </c>
      <c r="Q435" s="249">
        <f t="shared" si="73"/>
        <v>7.7215999999999996</v>
      </c>
      <c r="R435" s="249">
        <f t="shared" si="77"/>
        <v>0</v>
      </c>
      <c r="S435" s="247"/>
      <c r="T435" s="280"/>
      <c r="U435" s="247"/>
    </row>
    <row r="436" spans="1:21" x14ac:dyDescent="0.2">
      <c r="A436" s="195" t="s">
        <v>164</v>
      </c>
      <c r="B436" s="196"/>
      <c r="C436" s="196"/>
      <c r="D436" s="196"/>
      <c r="E436" s="211" t="s">
        <v>441</v>
      </c>
      <c r="F436" s="206">
        <v>0.35</v>
      </c>
      <c r="G436" s="207">
        <f t="shared" si="78"/>
        <v>0.28874999999999995</v>
      </c>
      <c r="H436" s="208">
        <f t="shared" si="76"/>
        <v>90.043290043290057</v>
      </c>
      <c r="I436" s="209">
        <f t="shared" si="79"/>
        <v>252.29999999999998</v>
      </c>
      <c r="J436" s="270">
        <f t="shared" si="80"/>
        <v>19</v>
      </c>
      <c r="K436" s="210">
        <v>8.6999999999999993</v>
      </c>
      <c r="L436" s="271"/>
      <c r="N436" s="244"/>
      <c r="O436" s="245">
        <v>0.29799999999999999</v>
      </c>
      <c r="P436" s="249">
        <f>IF(O436&lt;&gt;"",MROUND(O436*64,Param_DSC!$C$60),"")</f>
        <v>19</v>
      </c>
      <c r="Q436" s="249">
        <f t="shared" si="73"/>
        <v>7.5691999999999995</v>
      </c>
      <c r="R436" s="249">
        <f t="shared" si="77"/>
        <v>0</v>
      </c>
      <c r="S436" s="247"/>
      <c r="T436" s="280"/>
      <c r="U436" s="247"/>
    </row>
    <row r="437" spans="1:21" x14ac:dyDescent="0.2">
      <c r="A437" s="195" t="s">
        <v>164</v>
      </c>
      <c r="B437" s="196"/>
      <c r="C437" s="196"/>
      <c r="D437" s="196"/>
      <c r="E437" s="211" t="s">
        <v>442</v>
      </c>
      <c r="F437" s="206">
        <v>0.4</v>
      </c>
      <c r="G437" s="207">
        <f t="shared" si="78"/>
        <v>0.33</v>
      </c>
      <c r="H437" s="208">
        <f t="shared" si="76"/>
        <v>78.787878787878782</v>
      </c>
      <c r="I437" s="209">
        <f t="shared" si="79"/>
        <v>237.79999999999998</v>
      </c>
      <c r="J437" s="270">
        <f t="shared" si="80"/>
        <v>19</v>
      </c>
      <c r="K437" s="210">
        <v>8.1999999999999993</v>
      </c>
      <c r="L437" s="271"/>
      <c r="N437" s="244"/>
      <c r="O437" s="245">
        <v>0.29499999999999998</v>
      </c>
      <c r="P437" s="249">
        <f>IF(O437&lt;&gt;"",MROUND(O437*64,Param_DSC!$C$60),"")</f>
        <v>19</v>
      </c>
      <c r="Q437" s="249">
        <f t="shared" si="73"/>
        <v>7.4929999999999994</v>
      </c>
      <c r="R437" s="249">
        <f t="shared" si="77"/>
        <v>0</v>
      </c>
      <c r="S437" s="247"/>
      <c r="T437" s="280"/>
      <c r="U437" s="247"/>
    </row>
    <row r="438" spans="1:21" x14ac:dyDescent="0.2">
      <c r="A438" s="195" t="s">
        <v>164</v>
      </c>
      <c r="B438" s="196"/>
      <c r="C438" s="196"/>
      <c r="D438" s="196"/>
      <c r="E438" s="211" t="s">
        <v>443</v>
      </c>
      <c r="F438" s="206">
        <v>0.5</v>
      </c>
      <c r="G438" s="207">
        <f t="shared" si="78"/>
        <v>0.41249999999999998</v>
      </c>
      <c r="H438" s="208">
        <f t="shared" si="76"/>
        <v>63.030303030303031</v>
      </c>
      <c r="I438" s="209">
        <f t="shared" si="79"/>
        <v>200.10000000000002</v>
      </c>
      <c r="J438" s="270">
        <f t="shared" si="80"/>
        <v>19</v>
      </c>
      <c r="K438" s="210">
        <v>6.9</v>
      </c>
      <c r="L438" s="271"/>
      <c r="N438" s="244"/>
      <c r="O438" s="245">
        <v>0.28999999999999998</v>
      </c>
      <c r="P438" s="249">
        <f>IF(O438&lt;&gt;"",MROUND(O438*64,Param_DSC!$C$60),"")</f>
        <v>18.5</v>
      </c>
      <c r="Q438" s="249">
        <f t="shared" si="73"/>
        <v>7.3659999999999988</v>
      </c>
      <c r="R438" s="249">
        <f t="shared" si="77"/>
        <v>0</v>
      </c>
      <c r="S438" s="247"/>
      <c r="T438" s="280"/>
      <c r="U438" s="247"/>
    </row>
    <row r="439" spans="1:21" x14ac:dyDescent="0.2">
      <c r="A439" s="195" t="s">
        <v>164</v>
      </c>
      <c r="B439" s="196"/>
      <c r="C439" s="196"/>
      <c r="D439" s="196"/>
      <c r="E439" s="211" t="s">
        <v>444</v>
      </c>
      <c r="F439" s="206">
        <v>0.6</v>
      </c>
      <c r="G439" s="207">
        <f t="shared" si="78"/>
        <v>0.49499999999999994</v>
      </c>
      <c r="H439" s="208">
        <f t="shared" si="76"/>
        <v>52.525252525252533</v>
      </c>
      <c r="I439" s="209">
        <f t="shared" si="79"/>
        <v>194.3</v>
      </c>
      <c r="J439" s="270">
        <f t="shared" si="80"/>
        <v>19</v>
      </c>
      <c r="K439" s="210">
        <v>6.7</v>
      </c>
      <c r="L439" s="271"/>
      <c r="N439" s="244"/>
      <c r="O439" s="245">
        <v>0.28699999999999998</v>
      </c>
      <c r="P439" s="249">
        <f>IF(O439&lt;&gt;"",MROUND(O439*64,Param_DSC!$C$60),"")</f>
        <v>18.5</v>
      </c>
      <c r="Q439" s="249">
        <f t="shared" si="73"/>
        <v>7.2897999999999987</v>
      </c>
      <c r="R439" s="249">
        <f t="shared" si="77"/>
        <v>0</v>
      </c>
      <c r="S439" s="247"/>
      <c r="T439" s="280"/>
      <c r="U439" s="247"/>
    </row>
    <row r="440" spans="1:21" x14ac:dyDescent="0.2">
      <c r="A440" s="195" t="s">
        <v>164</v>
      </c>
      <c r="B440" s="196"/>
      <c r="C440" s="196"/>
      <c r="D440" s="196"/>
      <c r="E440" s="211" t="s">
        <v>445</v>
      </c>
      <c r="F440" s="206">
        <v>0.35</v>
      </c>
      <c r="G440" s="207">
        <f t="shared" si="78"/>
        <v>0.28874999999999995</v>
      </c>
      <c r="H440" s="208">
        <f t="shared" si="76"/>
        <v>90.043290043290057</v>
      </c>
      <c r="I440" s="209">
        <f t="shared" si="79"/>
        <v>194.3</v>
      </c>
      <c r="J440" s="270">
        <f t="shared" si="80"/>
        <v>18</v>
      </c>
      <c r="K440" s="210">
        <v>6.7</v>
      </c>
      <c r="L440" s="271"/>
      <c r="N440" s="244"/>
      <c r="O440" s="245">
        <v>0.28399999999999997</v>
      </c>
      <c r="P440" s="249">
        <f>IF(O440&lt;&gt;"",MROUND(O440*64,Param_DSC!$C$60),"")</f>
        <v>18</v>
      </c>
      <c r="Q440" s="249">
        <f t="shared" si="73"/>
        <v>7.2135999999999987</v>
      </c>
      <c r="R440" s="249">
        <f t="shared" si="77"/>
        <v>0</v>
      </c>
      <c r="S440" s="247"/>
      <c r="T440" s="280"/>
      <c r="U440" s="247"/>
    </row>
    <row r="441" spans="1:21" x14ac:dyDescent="0.2">
      <c r="A441" s="195" t="s">
        <v>164</v>
      </c>
      <c r="B441" s="196"/>
      <c r="C441" s="196"/>
      <c r="D441" s="196"/>
      <c r="E441" s="211" t="s">
        <v>446</v>
      </c>
      <c r="F441" s="206">
        <v>0.4</v>
      </c>
      <c r="G441" s="207">
        <f t="shared" si="78"/>
        <v>0.33</v>
      </c>
      <c r="H441" s="208">
        <f t="shared" si="76"/>
        <v>78.787878787878782</v>
      </c>
      <c r="I441" s="209">
        <f t="shared" si="79"/>
        <v>179.8</v>
      </c>
      <c r="J441" s="270">
        <f t="shared" si="80"/>
        <v>18</v>
      </c>
      <c r="K441" s="210">
        <v>6.2</v>
      </c>
      <c r="L441" s="271"/>
      <c r="N441" s="244"/>
      <c r="O441" s="245">
        <v>0.28199999999999997</v>
      </c>
      <c r="P441" s="249">
        <f>IF(O441&lt;&gt;"",MROUND(O441*64,Param_DSC!$C$60),"")</f>
        <v>18</v>
      </c>
      <c r="Q441" s="249">
        <f t="shared" si="73"/>
        <v>7.1627999999999989</v>
      </c>
      <c r="R441" s="249">
        <f t="shared" si="77"/>
        <v>0</v>
      </c>
      <c r="S441" s="247"/>
      <c r="T441" s="280"/>
      <c r="U441" s="247"/>
    </row>
    <row r="442" spans="1:21" x14ac:dyDescent="0.2">
      <c r="A442" s="195" t="s">
        <v>164</v>
      </c>
      <c r="B442" s="196"/>
      <c r="C442" s="196"/>
      <c r="D442" s="196"/>
      <c r="E442" s="211" t="s">
        <v>447</v>
      </c>
      <c r="F442" s="206">
        <v>0.35</v>
      </c>
      <c r="G442" s="207">
        <f t="shared" si="78"/>
        <v>0.28874999999999995</v>
      </c>
      <c r="H442" s="208">
        <f t="shared" si="76"/>
        <v>90.043290043290057</v>
      </c>
      <c r="I442" s="209">
        <f t="shared" si="79"/>
        <v>194.3</v>
      </c>
      <c r="J442" s="270">
        <f t="shared" si="80"/>
        <v>18</v>
      </c>
      <c r="K442" s="210">
        <v>6.7</v>
      </c>
      <c r="L442" s="271"/>
      <c r="N442" s="244"/>
      <c r="O442" s="245">
        <v>0.28399999999999997</v>
      </c>
      <c r="P442" s="249">
        <f>IF(O442&lt;&gt;"",MROUND(O442*64,Param_DSC!$C$60),"")</f>
        <v>18</v>
      </c>
      <c r="Q442" s="249">
        <f t="shared" si="73"/>
        <v>7.2135999999999987</v>
      </c>
      <c r="R442" s="249">
        <f t="shared" si="77"/>
        <v>0</v>
      </c>
      <c r="S442" s="247"/>
      <c r="T442" s="280"/>
      <c r="U442" s="247"/>
    </row>
    <row r="443" spans="1:21" x14ac:dyDescent="0.2">
      <c r="A443" s="195" t="s">
        <v>164</v>
      </c>
      <c r="B443" s="196"/>
      <c r="C443" s="196"/>
      <c r="D443" s="196"/>
      <c r="E443" s="211" t="s">
        <v>448</v>
      </c>
      <c r="F443" s="206">
        <v>0.4</v>
      </c>
      <c r="G443" s="207">
        <f t="shared" si="78"/>
        <v>0.33</v>
      </c>
      <c r="H443" s="208">
        <f t="shared" si="76"/>
        <v>78.787878787878782</v>
      </c>
      <c r="I443" s="209">
        <f t="shared" si="79"/>
        <v>179.8</v>
      </c>
      <c r="J443" s="270">
        <f t="shared" si="80"/>
        <v>18</v>
      </c>
      <c r="K443" s="210">
        <v>6.2</v>
      </c>
      <c r="L443" s="271"/>
      <c r="N443" s="244"/>
      <c r="O443" s="245">
        <v>0.28199999999999997</v>
      </c>
      <c r="P443" s="249">
        <f>IF(O443&lt;&gt;"",MROUND(O443*64,Param_DSC!$C$60),"")</f>
        <v>18</v>
      </c>
      <c r="Q443" s="249">
        <f t="shared" si="73"/>
        <v>7.1627999999999989</v>
      </c>
      <c r="R443" s="249">
        <f t="shared" si="77"/>
        <v>0</v>
      </c>
      <c r="S443" s="247"/>
      <c r="T443" s="280"/>
      <c r="U443" s="247"/>
    </row>
    <row r="444" spans="1:21" x14ac:dyDescent="0.2">
      <c r="A444" s="195" t="s">
        <v>164</v>
      </c>
      <c r="B444" s="196"/>
      <c r="C444" s="196"/>
      <c r="D444" s="196"/>
      <c r="E444" s="211" t="s">
        <v>449</v>
      </c>
      <c r="F444" s="206">
        <v>0.35</v>
      </c>
      <c r="G444" s="207">
        <f t="shared" si="78"/>
        <v>0.28874999999999995</v>
      </c>
      <c r="H444" s="208">
        <f t="shared" si="76"/>
        <v>90.043290043290057</v>
      </c>
      <c r="I444" s="209">
        <f t="shared" si="79"/>
        <v>194.3</v>
      </c>
      <c r="J444" s="270">
        <f t="shared" si="80"/>
        <v>18</v>
      </c>
      <c r="K444" s="210">
        <v>6.7</v>
      </c>
      <c r="L444" s="271"/>
      <c r="N444" s="244"/>
      <c r="O444" s="245">
        <v>0.28399999999999997</v>
      </c>
      <c r="P444" s="249">
        <f>IF(O444&lt;&gt;"",MROUND(O444*64,Param_DSC!$C$60),"")</f>
        <v>18</v>
      </c>
      <c r="Q444" s="249">
        <f t="shared" si="73"/>
        <v>7.2135999999999987</v>
      </c>
      <c r="R444" s="249">
        <f t="shared" si="77"/>
        <v>0</v>
      </c>
      <c r="S444" s="247"/>
      <c r="T444" s="280"/>
      <c r="U444" s="247"/>
    </row>
    <row r="445" spans="1:21" x14ac:dyDescent="0.2">
      <c r="A445" s="195" t="s">
        <v>164</v>
      </c>
      <c r="B445" s="196"/>
      <c r="C445" s="196"/>
      <c r="D445" s="196"/>
      <c r="E445" s="211" t="s">
        <v>450</v>
      </c>
      <c r="F445" s="206">
        <v>0.4</v>
      </c>
      <c r="G445" s="207">
        <f t="shared" si="78"/>
        <v>0.33</v>
      </c>
      <c r="H445" s="208">
        <f t="shared" si="76"/>
        <v>78.787878787878782</v>
      </c>
      <c r="I445" s="209">
        <f t="shared" si="79"/>
        <v>179.8</v>
      </c>
      <c r="J445" s="270">
        <f t="shared" si="80"/>
        <v>18</v>
      </c>
      <c r="K445" s="210">
        <v>6.2</v>
      </c>
      <c r="L445" s="271"/>
      <c r="N445" s="244"/>
      <c r="O445" s="245">
        <v>0.28199999999999997</v>
      </c>
      <c r="P445" s="249">
        <f>IF(O445&lt;&gt;"",MROUND(O445*64,Param_DSC!$C$60),"")</f>
        <v>18</v>
      </c>
      <c r="Q445" s="249">
        <f t="shared" si="73"/>
        <v>7.1627999999999989</v>
      </c>
      <c r="R445" s="249">
        <f t="shared" si="77"/>
        <v>0</v>
      </c>
      <c r="S445" s="247"/>
      <c r="T445" s="280"/>
      <c r="U445" s="247"/>
    </row>
    <row r="446" spans="1:21" x14ac:dyDescent="0.2">
      <c r="A446" s="203" t="s">
        <v>595</v>
      </c>
      <c r="B446" s="204"/>
      <c r="C446" s="204"/>
      <c r="D446" s="204"/>
      <c r="E446" s="211" t="s">
        <v>589</v>
      </c>
      <c r="F446" s="206">
        <v>0.34</v>
      </c>
      <c r="G446" s="207">
        <f t="shared" si="78"/>
        <v>0.28050000000000003</v>
      </c>
      <c r="H446" s="208">
        <f t="shared" si="76"/>
        <v>92.691622103386806</v>
      </c>
      <c r="I446" s="209">
        <f t="shared" si="79"/>
        <v>220.39999999999998</v>
      </c>
      <c r="J446" s="270">
        <f t="shared" si="80"/>
        <v>19</v>
      </c>
      <c r="K446" s="210">
        <v>7.6</v>
      </c>
      <c r="L446" s="271">
        <v>32</v>
      </c>
      <c r="M446" s="59"/>
      <c r="N446" s="248">
        <v>0.24299999999999999</v>
      </c>
      <c r="O446" s="245">
        <v>0.28939999999999999</v>
      </c>
      <c r="P446" s="249">
        <f>IF(O446&lt;&gt;"",MROUND(O446*64,Param_DSC!$C$60),"")</f>
        <v>18.5</v>
      </c>
      <c r="Q446" s="249">
        <f t="shared" si="73"/>
        <v>7.3507599999999993</v>
      </c>
      <c r="R446" s="249">
        <f t="shared" si="77"/>
        <v>812.8</v>
      </c>
      <c r="S446" s="247"/>
      <c r="T446" s="280"/>
      <c r="U446" s="252" t="s">
        <v>588</v>
      </c>
    </row>
    <row r="447" spans="1:21" x14ac:dyDescent="0.2">
      <c r="A447" s="203" t="s">
        <v>595</v>
      </c>
      <c r="B447" s="204"/>
      <c r="C447" s="204"/>
      <c r="D447" s="204"/>
      <c r="E447" s="211" t="s">
        <v>590</v>
      </c>
      <c r="F447" s="206">
        <v>0.4</v>
      </c>
      <c r="G447" s="207">
        <f t="shared" si="78"/>
        <v>0.33</v>
      </c>
      <c r="H447" s="208">
        <f t="shared" si="76"/>
        <v>78.787878787878782</v>
      </c>
      <c r="I447" s="209">
        <f t="shared" si="79"/>
        <v>194.3</v>
      </c>
      <c r="J447" s="270">
        <f t="shared" si="80"/>
        <v>18</v>
      </c>
      <c r="K447" s="210">
        <v>6.7</v>
      </c>
      <c r="L447" s="271">
        <v>32</v>
      </c>
      <c r="M447" s="59"/>
      <c r="N447" s="248">
        <v>0.24299999999999999</v>
      </c>
      <c r="O447" s="245">
        <v>0.2843</v>
      </c>
      <c r="P447" s="249">
        <f>IF(O447&lt;&gt;"",MROUND(O447*64,Param_DSC!$C$60),"")</f>
        <v>18</v>
      </c>
      <c r="Q447" s="249">
        <f t="shared" si="73"/>
        <v>7.2212199999999998</v>
      </c>
      <c r="R447" s="249">
        <f t="shared" si="77"/>
        <v>812.8</v>
      </c>
      <c r="S447" s="247"/>
      <c r="T447" s="280"/>
      <c r="U447" s="252" t="s">
        <v>588</v>
      </c>
    </row>
    <row r="448" spans="1:21" x14ac:dyDescent="0.2">
      <c r="A448" s="203" t="s">
        <v>595</v>
      </c>
      <c r="B448" s="204"/>
      <c r="C448" s="204"/>
      <c r="D448" s="204"/>
      <c r="E448" s="211" t="s">
        <v>591</v>
      </c>
      <c r="F448" s="206">
        <v>0.5</v>
      </c>
      <c r="G448" s="207">
        <f t="shared" si="78"/>
        <v>0.41249999999999998</v>
      </c>
      <c r="H448" s="208">
        <f t="shared" si="76"/>
        <v>63.030303030303031</v>
      </c>
      <c r="I448" s="209">
        <f t="shared" si="79"/>
        <v>159.5</v>
      </c>
      <c r="J448" s="270">
        <f t="shared" si="80"/>
        <v>18</v>
      </c>
      <c r="K448" s="210">
        <v>5.5</v>
      </c>
      <c r="L448" s="271">
        <v>32</v>
      </c>
      <c r="M448" s="59"/>
      <c r="N448" s="248">
        <v>0.24299999999999999</v>
      </c>
      <c r="O448" s="245">
        <v>0.27789999999999998</v>
      </c>
      <c r="P448" s="249">
        <f>IF(O448&lt;&gt;"",MROUND(O448*64,Param_DSC!$C$60),"")</f>
        <v>18</v>
      </c>
      <c r="Q448" s="249">
        <f t="shared" si="73"/>
        <v>7.0586599999999988</v>
      </c>
      <c r="R448" s="249">
        <f t="shared" si="77"/>
        <v>812.8</v>
      </c>
      <c r="S448" s="247"/>
      <c r="T448" s="280"/>
      <c r="U448" s="252" t="s">
        <v>588</v>
      </c>
    </row>
    <row r="449" spans="1:21" x14ac:dyDescent="0.2">
      <c r="A449" s="203" t="s">
        <v>595</v>
      </c>
      <c r="B449" s="204"/>
      <c r="C449" s="204"/>
      <c r="D449" s="204"/>
      <c r="E449" s="211" t="s">
        <v>592</v>
      </c>
      <c r="F449" s="206">
        <v>0.34</v>
      </c>
      <c r="G449" s="207">
        <f t="shared" si="78"/>
        <v>0.28050000000000003</v>
      </c>
      <c r="H449" s="208">
        <f t="shared" si="76"/>
        <v>92.691622103386806</v>
      </c>
      <c r="I449" s="209">
        <f t="shared" si="79"/>
        <v>220.39999999999998</v>
      </c>
      <c r="J449" s="270">
        <f t="shared" si="80"/>
        <v>19</v>
      </c>
      <c r="K449" s="210">
        <v>7.6</v>
      </c>
      <c r="L449" s="271">
        <v>32</v>
      </c>
      <c r="M449" s="59"/>
      <c r="N449" s="248">
        <v>0.24299999999999999</v>
      </c>
      <c r="O449" s="245">
        <v>0.28939999999999999</v>
      </c>
      <c r="P449" s="249">
        <f>IF(O449&lt;&gt;"",MROUND(O449*64,Param_DSC!$C$60),"")</f>
        <v>18.5</v>
      </c>
      <c r="Q449" s="249">
        <f t="shared" si="73"/>
        <v>7.3507599999999993</v>
      </c>
      <c r="R449" s="249">
        <f t="shared" si="77"/>
        <v>812.8</v>
      </c>
      <c r="S449" s="247"/>
      <c r="T449" s="280"/>
      <c r="U449" s="252" t="s">
        <v>588</v>
      </c>
    </row>
    <row r="450" spans="1:21" x14ac:dyDescent="0.2">
      <c r="A450" s="203" t="s">
        <v>595</v>
      </c>
      <c r="B450" s="204"/>
      <c r="C450" s="204"/>
      <c r="D450" s="204"/>
      <c r="E450" s="211" t="s">
        <v>593</v>
      </c>
      <c r="F450" s="206">
        <v>0.4</v>
      </c>
      <c r="G450" s="207">
        <f t="shared" si="78"/>
        <v>0.33</v>
      </c>
      <c r="H450" s="208">
        <f t="shared" si="76"/>
        <v>78.787878787878782</v>
      </c>
      <c r="I450" s="209">
        <f t="shared" si="79"/>
        <v>194.3</v>
      </c>
      <c r="J450" s="270">
        <f t="shared" si="80"/>
        <v>18</v>
      </c>
      <c r="K450" s="210">
        <v>6.7</v>
      </c>
      <c r="L450" s="271">
        <v>32</v>
      </c>
      <c r="M450" s="59"/>
      <c r="N450" s="248">
        <v>0.24299999999999999</v>
      </c>
      <c r="O450" s="245">
        <v>0.2843</v>
      </c>
      <c r="P450" s="249">
        <f>IF(O450&lt;&gt;"",MROUND(O450*64,Param_DSC!$C$60),"")</f>
        <v>18</v>
      </c>
      <c r="Q450" s="249">
        <f t="shared" si="73"/>
        <v>7.2212199999999998</v>
      </c>
      <c r="R450" s="249">
        <f t="shared" si="77"/>
        <v>812.8</v>
      </c>
      <c r="S450" s="247"/>
      <c r="T450" s="280"/>
      <c r="U450" s="252" t="s">
        <v>588</v>
      </c>
    </row>
    <row r="451" spans="1:21" x14ac:dyDescent="0.2">
      <c r="A451" s="203" t="s">
        <v>595</v>
      </c>
      <c r="B451" s="204"/>
      <c r="C451" s="204"/>
      <c r="D451" s="204"/>
      <c r="E451" s="211" t="s">
        <v>594</v>
      </c>
      <c r="F451" s="206">
        <v>0.5</v>
      </c>
      <c r="G451" s="207">
        <f t="shared" si="78"/>
        <v>0.41249999999999998</v>
      </c>
      <c r="H451" s="208">
        <f t="shared" si="76"/>
        <v>63.030303030303031</v>
      </c>
      <c r="I451" s="209">
        <f t="shared" si="79"/>
        <v>159.5</v>
      </c>
      <c r="J451" s="270">
        <f t="shared" si="80"/>
        <v>18</v>
      </c>
      <c r="K451" s="210">
        <v>5.5</v>
      </c>
      <c r="L451" s="271">
        <v>32</v>
      </c>
      <c r="M451" s="59"/>
      <c r="N451" s="248">
        <v>0.24299999999999999</v>
      </c>
      <c r="O451" s="245">
        <v>0.27789999999999998</v>
      </c>
      <c r="P451" s="249">
        <f>IF(O451&lt;&gt;"",MROUND(O451*64,Param_DSC!$C$60),"")</f>
        <v>18</v>
      </c>
      <c r="Q451" s="249">
        <f t="shared" si="73"/>
        <v>7.0586599999999988</v>
      </c>
      <c r="R451" s="249">
        <f t="shared" si="77"/>
        <v>812.8</v>
      </c>
      <c r="S451" s="247"/>
      <c r="T451" s="280"/>
      <c r="U451" s="252" t="s">
        <v>588</v>
      </c>
    </row>
    <row r="452" spans="1:21" x14ac:dyDescent="0.2">
      <c r="A452" s="203"/>
      <c r="B452" s="204"/>
      <c r="C452" s="204"/>
      <c r="D452" s="204"/>
      <c r="E452" s="211"/>
      <c r="F452" s="206"/>
      <c r="G452" s="207">
        <f t="shared" ref="G452:G463" si="81">F452*0.825</f>
        <v>0</v>
      </c>
      <c r="H452" s="208" t="e">
        <f t="shared" ref="H452:H474" si="82">26/G452</f>
        <v>#DIV/0!</v>
      </c>
      <c r="I452" s="209">
        <f t="shared" ref="I452:I474" si="83">K452*29</f>
        <v>0</v>
      </c>
      <c r="J452" s="270" t="e">
        <f t="shared" ref="J452:J474" si="84">ROUND(P452,0)</f>
        <v>#VALUE!</v>
      </c>
      <c r="K452" s="210"/>
      <c r="L452" s="271"/>
      <c r="M452" s="59"/>
      <c r="N452" s="248"/>
      <c r="O452" s="245"/>
      <c r="P452" s="249" t="str">
        <f>IF(O452&lt;&gt;"",MROUND(O452*64,Param_DSC!$C$60),"")</f>
        <v/>
      </c>
      <c r="Q452" s="249" t="str">
        <f t="shared" ref="Q452:Q474" si="85">IF(O452&lt;&gt;"",O452*25.4,"")</f>
        <v/>
      </c>
      <c r="R452" s="249">
        <f t="shared" ref="R452:R475" si="86">L452*25.4</f>
        <v>0</v>
      </c>
      <c r="S452" s="247"/>
      <c r="T452" s="280"/>
      <c r="U452" s="252"/>
    </row>
    <row r="453" spans="1:21" x14ac:dyDescent="0.2">
      <c r="A453" s="203"/>
      <c r="B453" s="204"/>
      <c r="C453" s="204"/>
      <c r="D453" s="204"/>
      <c r="E453" s="211"/>
      <c r="F453" s="206"/>
      <c r="G453" s="207">
        <f t="shared" si="81"/>
        <v>0</v>
      </c>
      <c r="H453" s="208" t="e">
        <f t="shared" ref="H453:H463" si="87">26/G453</f>
        <v>#DIV/0!</v>
      </c>
      <c r="I453" s="209">
        <f t="shared" ref="I453:I463" si="88">K453*29</f>
        <v>0</v>
      </c>
      <c r="J453" s="270" t="e">
        <f t="shared" ref="J453:J463" si="89">ROUND(P453,0)</f>
        <v>#VALUE!</v>
      </c>
      <c r="K453" s="210"/>
      <c r="L453" s="271"/>
      <c r="M453" s="59"/>
      <c r="N453" s="248"/>
      <c r="O453" s="245"/>
      <c r="P453" s="249" t="str">
        <f>IF(O453&lt;&gt;"",MROUND(O453*64,Param_DSC!$C$60),"")</f>
        <v/>
      </c>
      <c r="Q453" s="249" t="str">
        <f t="shared" ref="Q453:Q463" si="90">IF(O453&lt;&gt;"",O453*25.4,"")</f>
        <v/>
      </c>
      <c r="R453" s="249">
        <f t="shared" si="86"/>
        <v>0</v>
      </c>
      <c r="S453" s="247"/>
      <c r="T453" s="280"/>
      <c r="U453" s="252"/>
    </row>
    <row r="454" spans="1:21" x14ac:dyDescent="0.2">
      <c r="A454" s="203"/>
      <c r="B454" s="204"/>
      <c r="C454" s="204"/>
      <c r="D454" s="204"/>
      <c r="E454" s="211"/>
      <c r="F454" s="206"/>
      <c r="G454" s="207">
        <f t="shared" si="81"/>
        <v>0</v>
      </c>
      <c r="H454" s="208" t="e">
        <f t="shared" si="87"/>
        <v>#DIV/0!</v>
      </c>
      <c r="I454" s="209">
        <f t="shared" si="88"/>
        <v>0</v>
      </c>
      <c r="J454" s="270" t="e">
        <f t="shared" si="89"/>
        <v>#VALUE!</v>
      </c>
      <c r="K454" s="210"/>
      <c r="L454" s="271"/>
      <c r="M454" s="59"/>
      <c r="N454" s="248"/>
      <c r="O454" s="245"/>
      <c r="P454" s="249" t="str">
        <f>IF(O454&lt;&gt;"",MROUND(O454*64,Param_DSC!$C$60),"")</f>
        <v/>
      </c>
      <c r="Q454" s="249" t="str">
        <f t="shared" si="90"/>
        <v/>
      </c>
      <c r="R454" s="249">
        <f t="shared" si="86"/>
        <v>0</v>
      </c>
      <c r="S454" s="247"/>
      <c r="T454" s="280"/>
      <c r="U454" s="252"/>
    </row>
    <row r="455" spans="1:21" x14ac:dyDescent="0.2">
      <c r="A455" s="203"/>
      <c r="B455" s="204"/>
      <c r="C455" s="204"/>
      <c r="D455" s="204"/>
      <c r="E455" s="211"/>
      <c r="F455" s="206"/>
      <c r="G455" s="207">
        <f t="shared" si="81"/>
        <v>0</v>
      </c>
      <c r="H455" s="208" t="e">
        <f t="shared" si="87"/>
        <v>#DIV/0!</v>
      </c>
      <c r="I455" s="209">
        <f t="shared" si="88"/>
        <v>0</v>
      </c>
      <c r="J455" s="270" t="e">
        <f t="shared" si="89"/>
        <v>#VALUE!</v>
      </c>
      <c r="K455" s="210"/>
      <c r="L455" s="271"/>
      <c r="M455" s="59"/>
      <c r="N455" s="248"/>
      <c r="O455" s="245"/>
      <c r="P455" s="249" t="str">
        <f>IF(O455&lt;&gt;"",MROUND(O455*64,Param_DSC!$C$60),"")</f>
        <v/>
      </c>
      <c r="Q455" s="249" t="str">
        <f t="shared" si="90"/>
        <v/>
      </c>
      <c r="R455" s="249">
        <f t="shared" si="86"/>
        <v>0</v>
      </c>
      <c r="S455" s="247"/>
      <c r="T455" s="280"/>
      <c r="U455" s="252"/>
    </row>
    <row r="456" spans="1:21" x14ac:dyDescent="0.2">
      <c r="A456" s="203"/>
      <c r="B456" s="204"/>
      <c r="C456" s="204"/>
      <c r="D456" s="204"/>
      <c r="E456" s="211"/>
      <c r="F456" s="206"/>
      <c r="G456" s="207">
        <f t="shared" si="81"/>
        <v>0</v>
      </c>
      <c r="H456" s="208" t="e">
        <f t="shared" si="87"/>
        <v>#DIV/0!</v>
      </c>
      <c r="I456" s="209">
        <f t="shared" si="88"/>
        <v>0</v>
      </c>
      <c r="J456" s="270" t="e">
        <f t="shared" si="89"/>
        <v>#VALUE!</v>
      </c>
      <c r="K456" s="210"/>
      <c r="L456" s="271"/>
      <c r="M456" s="59"/>
      <c r="N456" s="248"/>
      <c r="O456" s="245"/>
      <c r="P456" s="249" t="str">
        <f>IF(O456&lt;&gt;"",MROUND(O456*64,Param_DSC!$C$60),"")</f>
        <v/>
      </c>
      <c r="Q456" s="249" t="str">
        <f t="shared" si="90"/>
        <v/>
      </c>
      <c r="R456" s="249">
        <f t="shared" si="86"/>
        <v>0</v>
      </c>
      <c r="S456" s="247"/>
      <c r="T456" s="280"/>
      <c r="U456" s="252"/>
    </row>
    <row r="457" spans="1:21" x14ac:dyDescent="0.2">
      <c r="A457" s="203"/>
      <c r="B457" s="204"/>
      <c r="C457" s="204"/>
      <c r="D457" s="204"/>
      <c r="E457" s="211"/>
      <c r="F457" s="206"/>
      <c r="G457" s="207">
        <f t="shared" si="81"/>
        <v>0</v>
      </c>
      <c r="H457" s="208" t="e">
        <f t="shared" si="87"/>
        <v>#DIV/0!</v>
      </c>
      <c r="I457" s="209">
        <f t="shared" si="88"/>
        <v>0</v>
      </c>
      <c r="J457" s="270" t="e">
        <f t="shared" si="89"/>
        <v>#VALUE!</v>
      </c>
      <c r="K457" s="210"/>
      <c r="L457" s="271"/>
      <c r="M457" s="59"/>
      <c r="N457" s="248"/>
      <c r="O457" s="245"/>
      <c r="P457" s="249" t="str">
        <f>IF(O457&lt;&gt;"",MROUND(O457*64,Param_DSC!$C$60),"")</f>
        <v/>
      </c>
      <c r="Q457" s="249" t="str">
        <f t="shared" si="90"/>
        <v/>
      </c>
      <c r="R457" s="249">
        <f t="shared" si="86"/>
        <v>0</v>
      </c>
      <c r="S457" s="247"/>
      <c r="T457" s="280"/>
      <c r="U457" s="252"/>
    </row>
    <row r="458" spans="1:21" x14ac:dyDescent="0.2">
      <c r="A458" s="203"/>
      <c r="B458" s="204"/>
      <c r="C458" s="204"/>
      <c r="D458" s="204"/>
      <c r="E458" s="211"/>
      <c r="F458" s="206"/>
      <c r="G458" s="207">
        <f t="shared" si="81"/>
        <v>0</v>
      </c>
      <c r="H458" s="208" t="e">
        <f t="shared" si="87"/>
        <v>#DIV/0!</v>
      </c>
      <c r="I458" s="209">
        <f t="shared" si="88"/>
        <v>0</v>
      </c>
      <c r="J458" s="270" t="e">
        <f t="shared" si="89"/>
        <v>#VALUE!</v>
      </c>
      <c r="K458" s="210"/>
      <c r="L458" s="271"/>
      <c r="M458" s="59"/>
      <c r="N458" s="248"/>
      <c r="O458" s="245"/>
      <c r="P458" s="249" t="str">
        <f>IF(O458&lt;&gt;"",MROUND(O458*64,Param_DSC!$C$60),"")</f>
        <v/>
      </c>
      <c r="Q458" s="249" t="str">
        <f t="shared" si="90"/>
        <v/>
      </c>
      <c r="R458" s="249">
        <f t="shared" si="86"/>
        <v>0</v>
      </c>
      <c r="S458" s="247"/>
      <c r="T458" s="280"/>
      <c r="U458" s="252"/>
    </row>
    <row r="459" spans="1:21" x14ac:dyDescent="0.2">
      <c r="A459" s="203"/>
      <c r="B459" s="204"/>
      <c r="C459" s="204"/>
      <c r="D459" s="204"/>
      <c r="E459" s="211"/>
      <c r="F459" s="206"/>
      <c r="G459" s="207">
        <f t="shared" si="81"/>
        <v>0</v>
      </c>
      <c r="H459" s="208" t="e">
        <f t="shared" si="87"/>
        <v>#DIV/0!</v>
      </c>
      <c r="I459" s="209">
        <f t="shared" si="88"/>
        <v>0</v>
      </c>
      <c r="J459" s="270" t="e">
        <f t="shared" si="89"/>
        <v>#VALUE!</v>
      </c>
      <c r="K459" s="210"/>
      <c r="L459" s="271"/>
      <c r="M459" s="59"/>
      <c r="N459" s="248"/>
      <c r="O459" s="245"/>
      <c r="P459" s="249" t="str">
        <f>IF(O459&lt;&gt;"",MROUND(O459*64,Param_DSC!$C$60),"")</f>
        <v/>
      </c>
      <c r="Q459" s="249" t="str">
        <f t="shared" si="90"/>
        <v/>
      </c>
      <c r="R459" s="249">
        <f t="shared" si="86"/>
        <v>0</v>
      </c>
      <c r="S459" s="247"/>
      <c r="T459" s="280"/>
      <c r="U459" s="252"/>
    </row>
    <row r="460" spans="1:21" x14ac:dyDescent="0.2">
      <c r="A460" s="203"/>
      <c r="B460" s="204"/>
      <c r="C460" s="204"/>
      <c r="D460" s="204"/>
      <c r="E460" s="211"/>
      <c r="F460" s="206"/>
      <c r="G460" s="207">
        <f t="shared" si="81"/>
        <v>0</v>
      </c>
      <c r="H460" s="208" t="e">
        <f t="shared" si="87"/>
        <v>#DIV/0!</v>
      </c>
      <c r="I460" s="209">
        <f t="shared" si="88"/>
        <v>0</v>
      </c>
      <c r="J460" s="270" t="e">
        <f t="shared" si="89"/>
        <v>#VALUE!</v>
      </c>
      <c r="K460" s="210"/>
      <c r="L460" s="271"/>
      <c r="M460" s="59"/>
      <c r="N460" s="248"/>
      <c r="O460" s="245"/>
      <c r="P460" s="249" t="str">
        <f>IF(O460&lt;&gt;"",MROUND(O460*64,Param_DSC!$C$60),"")</f>
        <v/>
      </c>
      <c r="Q460" s="249" t="str">
        <f t="shared" si="90"/>
        <v/>
      </c>
      <c r="R460" s="249">
        <f t="shared" si="86"/>
        <v>0</v>
      </c>
      <c r="S460" s="247"/>
      <c r="T460" s="280"/>
      <c r="U460" s="252"/>
    </row>
    <row r="461" spans="1:21" x14ac:dyDescent="0.2">
      <c r="A461" s="203"/>
      <c r="B461" s="204"/>
      <c r="C461" s="204"/>
      <c r="D461" s="204"/>
      <c r="E461" s="211"/>
      <c r="F461" s="206"/>
      <c r="G461" s="207">
        <f t="shared" si="81"/>
        <v>0</v>
      </c>
      <c r="H461" s="208" t="e">
        <f t="shared" si="87"/>
        <v>#DIV/0!</v>
      </c>
      <c r="I461" s="209">
        <f t="shared" si="88"/>
        <v>0</v>
      </c>
      <c r="J461" s="270" t="e">
        <f t="shared" si="89"/>
        <v>#VALUE!</v>
      </c>
      <c r="K461" s="210"/>
      <c r="L461" s="271"/>
      <c r="M461" s="59"/>
      <c r="N461" s="248"/>
      <c r="O461" s="245"/>
      <c r="P461" s="249" t="str">
        <f>IF(O461&lt;&gt;"",MROUND(O461*64,Param_DSC!$C$60),"")</f>
        <v/>
      </c>
      <c r="Q461" s="249" t="str">
        <f t="shared" si="90"/>
        <v/>
      </c>
      <c r="R461" s="249">
        <f t="shared" si="86"/>
        <v>0</v>
      </c>
      <c r="S461" s="247"/>
      <c r="T461" s="280"/>
      <c r="U461" s="252"/>
    </row>
    <row r="462" spans="1:21" x14ac:dyDescent="0.2">
      <c r="A462" s="203"/>
      <c r="B462" s="204"/>
      <c r="C462" s="204"/>
      <c r="D462" s="204"/>
      <c r="E462" s="211"/>
      <c r="F462" s="206"/>
      <c r="G462" s="207">
        <f t="shared" si="81"/>
        <v>0</v>
      </c>
      <c r="H462" s="208" t="e">
        <f t="shared" si="87"/>
        <v>#DIV/0!</v>
      </c>
      <c r="I462" s="209">
        <f t="shared" si="88"/>
        <v>0</v>
      </c>
      <c r="J462" s="270" t="e">
        <f t="shared" si="89"/>
        <v>#VALUE!</v>
      </c>
      <c r="K462" s="210"/>
      <c r="L462" s="271"/>
      <c r="M462" s="59"/>
      <c r="N462" s="248"/>
      <c r="O462" s="245"/>
      <c r="P462" s="249" t="str">
        <f>IF(O462&lt;&gt;"",MROUND(O462*64,Param_DSC!$C$60),"")</f>
        <v/>
      </c>
      <c r="Q462" s="249" t="str">
        <f t="shared" si="90"/>
        <v/>
      </c>
      <c r="R462" s="249">
        <f t="shared" si="86"/>
        <v>0</v>
      </c>
      <c r="S462" s="247"/>
      <c r="T462" s="280"/>
      <c r="U462" s="252"/>
    </row>
    <row r="463" spans="1:21" x14ac:dyDescent="0.2">
      <c r="A463" s="203"/>
      <c r="B463" s="204"/>
      <c r="C463" s="204"/>
      <c r="D463" s="204"/>
      <c r="E463" s="211"/>
      <c r="F463" s="206"/>
      <c r="G463" s="207">
        <f t="shared" si="81"/>
        <v>0</v>
      </c>
      <c r="H463" s="208" t="e">
        <f t="shared" si="87"/>
        <v>#DIV/0!</v>
      </c>
      <c r="I463" s="209">
        <f t="shared" si="88"/>
        <v>0</v>
      </c>
      <c r="J463" s="270" t="e">
        <f t="shared" si="89"/>
        <v>#VALUE!</v>
      </c>
      <c r="K463" s="210"/>
      <c r="L463" s="271"/>
      <c r="M463" s="59"/>
      <c r="N463" s="248"/>
      <c r="O463" s="245"/>
      <c r="P463" s="249" t="str">
        <f>IF(O463&lt;&gt;"",MROUND(O463*64,Param_DSC!$C$60),"")</f>
        <v/>
      </c>
      <c r="Q463" s="249" t="str">
        <f t="shared" si="90"/>
        <v/>
      </c>
      <c r="R463" s="249">
        <f t="shared" si="86"/>
        <v>0</v>
      </c>
      <c r="S463" s="247"/>
      <c r="T463" s="280"/>
      <c r="U463" s="252"/>
    </row>
    <row r="464" spans="1:21" x14ac:dyDescent="0.2">
      <c r="A464" s="203"/>
      <c r="B464" s="204"/>
      <c r="C464" s="204"/>
      <c r="D464" s="204"/>
      <c r="E464" s="211"/>
      <c r="F464" s="206"/>
      <c r="G464" s="207">
        <f t="shared" ref="G464:G474" si="91">F464*0.825</f>
        <v>0</v>
      </c>
      <c r="H464" s="208" t="e">
        <f t="shared" si="82"/>
        <v>#DIV/0!</v>
      </c>
      <c r="I464" s="209">
        <f t="shared" si="83"/>
        <v>0</v>
      </c>
      <c r="J464" s="270" t="e">
        <f t="shared" si="84"/>
        <v>#VALUE!</v>
      </c>
      <c r="K464" s="210"/>
      <c r="L464" s="271"/>
      <c r="M464" s="59"/>
      <c r="N464" s="248"/>
      <c r="O464" s="245"/>
      <c r="P464" s="249" t="str">
        <f>IF(O464&lt;&gt;"",MROUND(O464*64,Param_DSC!$C$60),"")</f>
        <v/>
      </c>
      <c r="Q464" s="249" t="str">
        <f t="shared" si="85"/>
        <v/>
      </c>
      <c r="R464" s="249">
        <f t="shared" si="86"/>
        <v>0</v>
      </c>
      <c r="S464" s="247"/>
      <c r="T464" s="280"/>
      <c r="U464" s="252"/>
    </row>
    <row r="465" spans="1:21" x14ac:dyDescent="0.2">
      <c r="A465" s="203"/>
      <c r="B465" s="204"/>
      <c r="C465" s="204"/>
      <c r="D465" s="204"/>
      <c r="E465" s="211"/>
      <c r="F465" s="206"/>
      <c r="G465" s="207">
        <f t="shared" ref="G465:G469" si="92">F465*0.825</f>
        <v>0</v>
      </c>
      <c r="H465" s="208" t="e">
        <f t="shared" ref="H465:H469" si="93">26/G465</f>
        <v>#DIV/0!</v>
      </c>
      <c r="I465" s="209">
        <f t="shared" ref="I465:I469" si="94">K465*29</f>
        <v>0</v>
      </c>
      <c r="J465" s="270" t="e">
        <f t="shared" ref="J465:J469" si="95">ROUND(P465,0)</f>
        <v>#VALUE!</v>
      </c>
      <c r="K465" s="210"/>
      <c r="L465" s="271"/>
      <c r="M465" s="59"/>
      <c r="N465" s="248"/>
      <c r="O465" s="245"/>
      <c r="P465" s="249" t="str">
        <f>IF(O465&lt;&gt;"",MROUND(O465*64,Param_DSC!$C$60),"")</f>
        <v/>
      </c>
      <c r="Q465" s="249" t="str">
        <f t="shared" ref="Q465:Q469" si="96">IF(O465&lt;&gt;"",O465*25.4,"")</f>
        <v/>
      </c>
      <c r="R465" s="249">
        <f t="shared" si="86"/>
        <v>0</v>
      </c>
      <c r="S465" s="247"/>
      <c r="T465" s="280"/>
      <c r="U465" s="252"/>
    </row>
    <row r="466" spans="1:21" x14ac:dyDescent="0.2">
      <c r="A466" s="203"/>
      <c r="B466" s="204"/>
      <c r="C466" s="204"/>
      <c r="D466" s="204"/>
      <c r="E466" s="211"/>
      <c r="F466" s="206"/>
      <c r="G466" s="207">
        <f t="shared" si="92"/>
        <v>0</v>
      </c>
      <c r="H466" s="208" t="e">
        <f t="shared" si="93"/>
        <v>#DIV/0!</v>
      </c>
      <c r="I466" s="209">
        <f t="shared" si="94"/>
        <v>0</v>
      </c>
      <c r="J466" s="270" t="e">
        <f t="shared" si="95"/>
        <v>#VALUE!</v>
      </c>
      <c r="K466" s="210"/>
      <c r="L466" s="271"/>
      <c r="M466" s="59"/>
      <c r="N466" s="248"/>
      <c r="O466" s="245"/>
      <c r="P466" s="249" t="str">
        <f>IF(O466&lt;&gt;"",MROUND(O466*64,Param_DSC!$C$60),"")</f>
        <v/>
      </c>
      <c r="Q466" s="249" t="str">
        <f t="shared" si="96"/>
        <v/>
      </c>
      <c r="R466" s="249">
        <f t="shared" si="86"/>
        <v>0</v>
      </c>
      <c r="S466" s="247"/>
      <c r="T466" s="280"/>
      <c r="U466" s="252"/>
    </row>
    <row r="467" spans="1:21" x14ac:dyDescent="0.2">
      <c r="A467" s="203"/>
      <c r="B467" s="204"/>
      <c r="C467" s="204"/>
      <c r="D467" s="204"/>
      <c r="E467" s="211"/>
      <c r="F467" s="206"/>
      <c r="G467" s="207">
        <f t="shared" si="92"/>
        <v>0</v>
      </c>
      <c r="H467" s="208" t="e">
        <f t="shared" si="93"/>
        <v>#DIV/0!</v>
      </c>
      <c r="I467" s="209">
        <f t="shared" si="94"/>
        <v>0</v>
      </c>
      <c r="J467" s="270" t="e">
        <f t="shared" si="95"/>
        <v>#VALUE!</v>
      </c>
      <c r="K467" s="210"/>
      <c r="L467" s="271"/>
      <c r="M467" s="59"/>
      <c r="N467" s="248"/>
      <c r="O467" s="245"/>
      <c r="P467" s="249" t="str">
        <f>IF(O467&lt;&gt;"",MROUND(O467*64,Param_DSC!$C$60),"")</f>
        <v/>
      </c>
      <c r="Q467" s="249" t="str">
        <f t="shared" si="96"/>
        <v/>
      </c>
      <c r="R467" s="249">
        <f t="shared" si="86"/>
        <v>0</v>
      </c>
      <c r="S467" s="247"/>
      <c r="T467" s="280"/>
      <c r="U467" s="252"/>
    </row>
    <row r="468" spans="1:21" x14ac:dyDescent="0.2">
      <c r="A468" s="203"/>
      <c r="B468" s="204"/>
      <c r="C468" s="204"/>
      <c r="D468" s="204"/>
      <c r="E468" s="211"/>
      <c r="F468" s="206"/>
      <c r="G468" s="207">
        <f t="shared" si="92"/>
        <v>0</v>
      </c>
      <c r="H468" s="208" t="e">
        <f t="shared" si="93"/>
        <v>#DIV/0!</v>
      </c>
      <c r="I468" s="209">
        <f t="shared" si="94"/>
        <v>0</v>
      </c>
      <c r="J468" s="270" t="e">
        <f t="shared" si="95"/>
        <v>#VALUE!</v>
      </c>
      <c r="K468" s="210"/>
      <c r="L468" s="271"/>
      <c r="M468" s="59"/>
      <c r="N468" s="248"/>
      <c r="O468" s="245"/>
      <c r="P468" s="249" t="str">
        <f>IF(O468&lt;&gt;"",MROUND(O468*64,Param_DSC!$C$60),"")</f>
        <v/>
      </c>
      <c r="Q468" s="249" t="str">
        <f t="shared" si="96"/>
        <v/>
      </c>
      <c r="R468" s="249">
        <f t="shared" si="86"/>
        <v>0</v>
      </c>
      <c r="S468" s="247"/>
      <c r="T468" s="280"/>
      <c r="U468" s="252"/>
    </row>
    <row r="469" spans="1:21" x14ac:dyDescent="0.2">
      <c r="A469" s="203"/>
      <c r="B469" s="204"/>
      <c r="C469" s="204"/>
      <c r="D469" s="204"/>
      <c r="E469" s="211"/>
      <c r="F469" s="206"/>
      <c r="G469" s="207">
        <f t="shared" si="92"/>
        <v>0</v>
      </c>
      <c r="H469" s="208" t="e">
        <f t="shared" si="93"/>
        <v>#DIV/0!</v>
      </c>
      <c r="I469" s="209">
        <f t="shared" si="94"/>
        <v>0</v>
      </c>
      <c r="J469" s="270" t="e">
        <f t="shared" si="95"/>
        <v>#VALUE!</v>
      </c>
      <c r="K469" s="210"/>
      <c r="L469" s="271"/>
      <c r="M469" s="59"/>
      <c r="N469" s="248"/>
      <c r="O469" s="245"/>
      <c r="P469" s="249" t="str">
        <f>IF(O469&lt;&gt;"",MROUND(O469*64,Param_DSC!$C$60),"")</f>
        <v/>
      </c>
      <c r="Q469" s="249" t="str">
        <f t="shared" si="96"/>
        <v/>
      </c>
      <c r="R469" s="249">
        <f t="shared" si="86"/>
        <v>0</v>
      </c>
      <c r="S469" s="247"/>
      <c r="T469" s="280"/>
      <c r="U469" s="252"/>
    </row>
    <row r="470" spans="1:21" x14ac:dyDescent="0.2">
      <c r="A470" s="203"/>
      <c r="B470" s="204"/>
      <c r="C470" s="204"/>
      <c r="D470" s="204"/>
      <c r="E470" s="211"/>
      <c r="F470" s="206"/>
      <c r="G470" s="207">
        <f t="shared" si="91"/>
        <v>0</v>
      </c>
      <c r="H470" s="208" t="e">
        <f t="shared" si="82"/>
        <v>#DIV/0!</v>
      </c>
      <c r="I470" s="209">
        <f t="shared" si="83"/>
        <v>0</v>
      </c>
      <c r="J470" s="270" t="e">
        <f t="shared" si="84"/>
        <v>#VALUE!</v>
      </c>
      <c r="K470" s="210"/>
      <c r="L470" s="271"/>
      <c r="M470" s="59"/>
      <c r="N470" s="248"/>
      <c r="O470" s="245"/>
      <c r="P470" s="249" t="str">
        <f>IF(O470&lt;&gt;"",MROUND(O470*64,Param_DSC!$C$60),"")</f>
        <v/>
      </c>
      <c r="Q470" s="249" t="str">
        <f t="shared" si="85"/>
        <v/>
      </c>
      <c r="R470" s="249">
        <f t="shared" si="86"/>
        <v>0</v>
      </c>
      <c r="S470" s="247"/>
      <c r="T470" s="280"/>
      <c r="U470" s="252"/>
    </row>
    <row r="471" spans="1:21" x14ac:dyDescent="0.2">
      <c r="A471" s="203"/>
      <c r="B471" s="204"/>
      <c r="C471" s="204"/>
      <c r="D471" s="204"/>
      <c r="E471" s="211"/>
      <c r="F471" s="206"/>
      <c r="G471" s="207">
        <f t="shared" si="91"/>
        <v>0</v>
      </c>
      <c r="H471" s="208" t="e">
        <f t="shared" si="82"/>
        <v>#DIV/0!</v>
      </c>
      <c r="I471" s="209">
        <f t="shared" si="83"/>
        <v>0</v>
      </c>
      <c r="J471" s="270" t="e">
        <f t="shared" si="84"/>
        <v>#VALUE!</v>
      </c>
      <c r="K471" s="210"/>
      <c r="L471" s="271"/>
      <c r="M471" s="59"/>
      <c r="N471" s="248"/>
      <c r="O471" s="245"/>
      <c r="P471" s="249" t="str">
        <f>IF(O471&lt;&gt;"",MROUND(O471*64,Param_DSC!$C$60),"")</f>
        <v/>
      </c>
      <c r="Q471" s="249" t="str">
        <f t="shared" si="85"/>
        <v/>
      </c>
      <c r="R471" s="249">
        <f t="shared" si="86"/>
        <v>0</v>
      </c>
      <c r="S471" s="247"/>
      <c r="T471" s="280"/>
      <c r="U471" s="252"/>
    </row>
    <row r="472" spans="1:21" x14ac:dyDescent="0.2">
      <c r="A472" s="203"/>
      <c r="B472" s="204"/>
      <c r="C472" s="204"/>
      <c r="D472" s="204"/>
      <c r="E472" s="211"/>
      <c r="F472" s="206"/>
      <c r="G472" s="207">
        <f t="shared" si="91"/>
        <v>0</v>
      </c>
      <c r="H472" s="208" t="e">
        <f t="shared" si="82"/>
        <v>#DIV/0!</v>
      </c>
      <c r="I472" s="209">
        <f t="shared" si="83"/>
        <v>0</v>
      </c>
      <c r="J472" s="270" t="e">
        <f t="shared" si="84"/>
        <v>#VALUE!</v>
      </c>
      <c r="K472" s="210"/>
      <c r="L472" s="271"/>
      <c r="M472" s="59"/>
      <c r="N472" s="248"/>
      <c r="O472" s="245"/>
      <c r="P472" s="249" t="str">
        <f>IF(O472&lt;&gt;"",MROUND(O472*64,Param_DSC!$C$60),"")</f>
        <v/>
      </c>
      <c r="Q472" s="249" t="str">
        <f t="shared" si="85"/>
        <v/>
      </c>
      <c r="R472" s="249">
        <f t="shared" si="86"/>
        <v>0</v>
      </c>
      <c r="S472" s="247"/>
      <c r="T472" s="280"/>
      <c r="U472" s="252"/>
    </row>
    <row r="473" spans="1:21" x14ac:dyDescent="0.2">
      <c r="A473" s="203"/>
      <c r="B473" s="204"/>
      <c r="C473" s="204"/>
      <c r="D473" s="204"/>
      <c r="E473" s="211"/>
      <c r="F473" s="206"/>
      <c r="G473" s="207">
        <f t="shared" si="91"/>
        <v>0</v>
      </c>
      <c r="H473" s="208" t="e">
        <f t="shared" si="82"/>
        <v>#DIV/0!</v>
      </c>
      <c r="I473" s="209">
        <f t="shared" si="83"/>
        <v>0</v>
      </c>
      <c r="J473" s="270" t="e">
        <f t="shared" si="84"/>
        <v>#VALUE!</v>
      </c>
      <c r="K473" s="210"/>
      <c r="L473" s="271"/>
      <c r="M473" s="59"/>
      <c r="N473" s="248"/>
      <c r="O473" s="245"/>
      <c r="P473" s="249" t="str">
        <f>IF(O473&lt;&gt;"",MROUND(O473*64,Param_DSC!$C$60),"")</f>
        <v/>
      </c>
      <c r="Q473" s="249" t="str">
        <f t="shared" si="85"/>
        <v/>
      </c>
      <c r="R473" s="249">
        <f t="shared" si="86"/>
        <v>0</v>
      </c>
      <c r="S473" s="247"/>
      <c r="T473" s="280"/>
      <c r="U473" s="252"/>
    </row>
    <row r="474" spans="1:21" x14ac:dyDescent="0.2">
      <c r="A474" s="203"/>
      <c r="B474" s="204"/>
      <c r="C474" s="204"/>
      <c r="D474" s="204"/>
      <c r="E474" s="211"/>
      <c r="F474" s="206"/>
      <c r="G474" s="207">
        <f t="shared" si="91"/>
        <v>0</v>
      </c>
      <c r="H474" s="208" t="e">
        <f t="shared" si="82"/>
        <v>#DIV/0!</v>
      </c>
      <c r="I474" s="209">
        <f t="shared" si="83"/>
        <v>0</v>
      </c>
      <c r="J474" s="270" t="e">
        <f t="shared" si="84"/>
        <v>#VALUE!</v>
      </c>
      <c r="K474" s="210"/>
      <c r="L474" s="271"/>
      <c r="M474" s="59"/>
      <c r="N474" s="248"/>
      <c r="O474" s="245"/>
      <c r="P474" s="249" t="str">
        <f>IF(O474&lt;&gt;"",MROUND(O474*64,Param_DSC!$C$60),"")</f>
        <v/>
      </c>
      <c r="Q474" s="249" t="str">
        <f t="shared" si="85"/>
        <v/>
      </c>
      <c r="R474" s="249">
        <f t="shared" si="86"/>
        <v>0</v>
      </c>
      <c r="S474" s="247"/>
      <c r="T474" s="280"/>
      <c r="U474" s="252"/>
    </row>
    <row r="475" spans="1:21" ht="13.5" thickBot="1" x14ac:dyDescent="0.25">
      <c r="A475" s="231"/>
      <c r="B475" s="232"/>
      <c r="C475" s="232"/>
      <c r="D475" s="232"/>
      <c r="E475" s="274"/>
      <c r="F475" s="275"/>
      <c r="G475" s="262">
        <f t="shared" ref="G475" si="97">F475*0.825</f>
        <v>0</v>
      </c>
      <c r="H475" s="263" t="e">
        <f t="shared" ref="H475" si="98">26/G475</f>
        <v>#DIV/0!</v>
      </c>
      <c r="I475" s="264">
        <f t="shared" ref="I475" si="99">K475*29</f>
        <v>0</v>
      </c>
      <c r="J475" s="276" t="e">
        <f t="shared" ref="J475" si="100">ROUND(P475,0)</f>
        <v>#VALUE!</v>
      </c>
      <c r="K475" s="277"/>
      <c r="L475" s="278"/>
      <c r="N475" s="265"/>
      <c r="O475" s="266"/>
      <c r="P475" s="267" t="str">
        <f>IF(O475&lt;&gt;"",MROUND(O475*64,Param_DSC!$C$60),"")</f>
        <v/>
      </c>
      <c r="Q475" s="267" t="str">
        <f t="shared" ref="Q475" si="101">IF(O475&lt;&gt;"",O475*25.4,"")</f>
        <v/>
      </c>
      <c r="R475" s="249">
        <f t="shared" si="86"/>
        <v>0</v>
      </c>
      <c r="S475" s="266"/>
      <c r="T475" s="286"/>
      <c r="U475" s="266"/>
    </row>
    <row r="476" spans="1:21" x14ac:dyDescent="0.2">
      <c r="P476" s="268"/>
    </row>
    <row r="483" spans="1:21" ht="12.75" customHeight="1" x14ac:dyDescent="0.2">
      <c r="A483" s="203" t="s">
        <v>715</v>
      </c>
      <c r="B483" s="204"/>
      <c r="C483" s="204"/>
      <c r="D483" s="204"/>
      <c r="E483" s="211" t="s">
        <v>719</v>
      </c>
      <c r="F483" s="206">
        <v>0.6</v>
      </c>
      <c r="G483" s="207">
        <f t="shared" ref="G483:G496" si="102">F483*0.825</f>
        <v>0.49499999999999994</v>
      </c>
      <c r="H483" s="208">
        <f t="shared" ref="H483:H496" si="103">26/G483</f>
        <v>52.525252525252533</v>
      </c>
      <c r="I483" s="209">
        <f t="shared" ref="I483:I496" si="104">K483*29</f>
        <v>162.39999999999998</v>
      </c>
      <c r="J483" s="270" t="e">
        <f t="shared" ref="J483:J496" si="105">ROUND(P483,0)</f>
        <v>#VALUE!</v>
      </c>
      <c r="K483" s="210">
        <v>5.6</v>
      </c>
      <c r="L483" s="271"/>
      <c r="N483" s="248"/>
      <c r="O483" s="247"/>
      <c r="P483" s="249" t="str">
        <f>IF(O483&lt;&gt;"",MROUND(O483*64,Param_DSC!$C$60),"")</f>
        <v/>
      </c>
      <c r="Q483" s="249" t="str">
        <f t="shared" ref="Q483:Q496" si="106">IF(O483&lt;&gt;"",O483*25.4,"")</f>
        <v/>
      </c>
      <c r="R483" s="249">
        <f t="shared" ref="R483:R496" si="107">L483*25.4</f>
        <v>0</v>
      </c>
      <c r="S483" s="247"/>
      <c r="T483" s="280"/>
      <c r="U483" s="247"/>
    </row>
    <row r="484" spans="1:21" ht="12.75" customHeight="1" x14ac:dyDescent="0.2">
      <c r="A484" s="203" t="s">
        <v>715</v>
      </c>
      <c r="B484" s="204"/>
      <c r="C484" s="204"/>
      <c r="D484" s="204"/>
      <c r="E484" s="211" t="s">
        <v>720</v>
      </c>
      <c r="F484" s="206">
        <v>0.5</v>
      </c>
      <c r="G484" s="207">
        <f t="shared" si="102"/>
        <v>0.41249999999999998</v>
      </c>
      <c r="H484" s="208">
        <f t="shared" si="103"/>
        <v>63.030303030303031</v>
      </c>
      <c r="I484" s="209">
        <f t="shared" si="104"/>
        <v>179.8</v>
      </c>
      <c r="J484" s="270" t="e">
        <f t="shared" si="105"/>
        <v>#VALUE!</v>
      </c>
      <c r="K484" s="210">
        <v>6.2</v>
      </c>
      <c r="L484" s="271"/>
      <c r="N484" s="248"/>
      <c r="O484" s="247"/>
      <c r="P484" s="249" t="str">
        <f>IF(O484&lt;&gt;"",MROUND(O484*64,Param_DSC!$C$60),"")</f>
        <v/>
      </c>
      <c r="Q484" s="249" t="str">
        <f t="shared" si="106"/>
        <v/>
      </c>
      <c r="R484" s="249">
        <f t="shared" si="107"/>
        <v>0</v>
      </c>
      <c r="S484" s="247"/>
      <c r="T484" s="280"/>
      <c r="U484" s="247"/>
    </row>
    <row r="485" spans="1:21" ht="12.75" customHeight="1" x14ac:dyDescent="0.2">
      <c r="A485" s="203" t="s">
        <v>715</v>
      </c>
      <c r="B485" s="204"/>
      <c r="C485" s="204"/>
      <c r="D485" s="204"/>
      <c r="E485" s="211" t="s">
        <v>721</v>
      </c>
      <c r="F485" s="206">
        <v>0.4</v>
      </c>
      <c r="G485" s="207">
        <f t="shared" si="102"/>
        <v>0.33</v>
      </c>
      <c r="H485" s="208">
        <f t="shared" si="103"/>
        <v>78.787878787878782</v>
      </c>
      <c r="I485" s="209">
        <f t="shared" si="104"/>
        <v>211.7</v>
      </c>
      <c r="J485" s="270" t="e">
        <f t="shared" si="105"/>
        <v>#VALUE!</v>
      </c>
      <c r="K485" s="210">
        <v>7.3</v>
      </c>
      <c r="L485" s="271"/>
      <c r="N485" s="248"/>
      <c r="O485" s="247"/>
      <c r="P485" s="249" t="str">
        <f>IF(O485&lt;&gt;"",MROUND(O485*64,Param_DSC!$C$60),"")</f>
        <v/>
      </c>
      <c r="Q485" s="249" t="str">
        <f t="shared" si="106"/>
        <v/>
      </c>
      <c r="R485" s="249">
        <f t="shared" si="107"/>
        <v>0</v>
      </c>
      <c r="S485" s="247"/>
      <c r="T485" s="280"/>
      <c r="U485" s="247"/>
    </row>
    <row r="486" spans="1:21" x14ac:dyDescent="0.2">
      <c r="A486" s="203" t="s">
        <v>715</v>
      </c>
      <c r="B486" s="204"/>
      <c r="C486" s="204"/>
      <c r="D486" s="204"/>
      <c r="E486" s="211" t="s">
        <v>722</v>
      </c>
      <c r="F486" s="206">
        <v>0.35</v>
      </c>
      <c r="G486" s="207">
        <f t="shared" si="102"/>
        <v>0.28874999999999995</v>
      </c>
      <c r="H486" s="208">
        <f t="shared" si="103"/>
        <v>90.043290043290057</v>
      </c>
      <c r="I486" s="209">
        <f t="shared" si="104"/>
        <v>229.10000000000002</v>
      </c>
      <c r="J486" s="270" t="e">
        <f t="shared" si="105"/>
        <v>#VALUE!</v>
      </c>
      <c r="K486" s="210">
        <v>7.9</v>
      </c>
      <c r="L486" s="271"/>
      <c r="N486" s="248"/>
      <c r="O486" s="247"/>
      <c r="P486" s="249" t="str">
        <f>IF(O486&lt;&gt;"",MROUND(O486*64,Param_DSC!$C$60),"")</f>
        <v/>
      </c>
      <c r="Q486" s="249" t="str">
        <f t="shared" si="106"/>
        <v/>
      </c>
      <c r="R486" s="249">
        <f t="shared" si="107"/>
        <v>0</v>
      </c>
      <c r="S486" s="247"/>
      <c r="T486" s="280"/>
      <c r="U486" s="247"/>
    </row>
    <row r="487" spans="1:21" ht="12.75" customHeight="1" x14ac:dyDescent="0.2">
      <c r="A487" s="203" t="s">
        <v>715</v>
      </c>
      <c r="B487" s="204"/>
      <c r="C487" s="204"/>
      <c r="D487" s="204"/>
      <c r="E487" s="211" t="s">
        <v>716</v>
      </c>
      <c r="F487" s="206">
        <v>0.5</v>
      </c>
      <c r="G487" s="207">
        <f t="shared" si="102"/>
        <v>0.41249999999999998</v>
      </c>
      <c r="H487" s="208">
        <f t="shared" si="103"/>
        <v>63.030303030303031</v>
      </c>
      <c r="I487" s="209">
        <f t="shared" si="104"/>
        <v>200.10000000000002</v>
      </c>
      <c r="J487" s="270" t="e">
        <f t="shared" si="105"/>
        <v>#VALUE!</v>
      </c>
      <c r="K487" s="210">
        <v>6.9</v>
      </c>
      <c r="L487" s="271"/>
      <c r="N487" s="248"/>
      <c r="O487" s="247"/>
      <c r="P487" s="249" t="str">
        <f>IF(O487&lt;&gt;"",MROUND(O487*64,Param_DSC!$C$60),"")</f>
        <v/>
      </c>
      <c r="Q487" s="249" t="str">
        <f t="shared" si="106"/>
        <v/>
      </c>
      <c r="R487" s="249">
        <f t="shared" si="107"/>
        <v>0</v>
      </c>
      <c r="S487" s="247"/>
      <c r="T487" s="280"/>
      <c r="U487" s="247"/>
    </row>
    <row r="488" spans="1:21" s="256" customFormat="1" ht="15" x14ac:dyDescent="0.25">
      <c r="A488" s="203" t="s">
        <v>715</v>
      </c>
      <c r="B488" s="204"/>
      <c r="C488" s="204"/>
      <c r="D488" s="204"/>
      <c r="E488" s="211" t="s">
        <v>717</v>
      </c>
      <c r="F488" s="206">
        <v>0.4</v>
      </c>
      <c r="G488" s="207">
        <f t="shared" si="102"/>
        <v>0.33</v>
      </c>
      <c r="H488" s="208">
        <f t="shared" si="103"/>
        <v>78.787878787878782</v>
      </c>
      <c r="I488" s="209">
        <f t="shared" si="104"/>
        <v>229.10000000000002</v>
      </c>
      <c r="J488" s="270" t="e">
        <f t="shared" si="105"/>
        <v>#VALUE!</v>
      </c>
      <c r="K488" s="210">
        <v>7.9</v>
      </c>
      <c r="L488" s="271"/>
      <c r="M488" s="261"/>
      <c r="N488" s="248"/>
      <c r="O488" s="247"/>
      <c r="P488" s="249" t="str">
        <f>IF(O488&lt;&gt;"",MROUND(O488*64,Param_DSC!$C$60),"")</f>
        <v/>
      </c>
      <c r="Q488" s="249" t="str">
        <f t="shared" si="106"/>
        <v/>
      </c>
      <c r="R488" s="249">
        <f t="shared" si="107"/>
        <v>0</v>
      </c>
      <c r="S488" s="247"/>
      <c r="T488" s="280"/>
      <c r="U488" s="247"/>
    </row>
    <row r="489" spans="1:21" s="256" customFormat="1" ht="15" x14ac:dyDescent="0.25">
      <c r="A489" s="203" t="s">
        <v>715</v>
      </c>
      <c r="B489" s="204"/>
      <c r="C489" s="204"/>
      <c r="D489" s="204"/>
      <c r="E489" s="211" t="s">
        <v>718</v>
      </c>
      <c r="F489" s="206">
        <v>0.3</v>
      </c>
      <c r="G489" s="207">
        <f t="shared" si="102"/>
        <v>0.24749999999999997</v>
      </c>
      <c r="H489" s="208">
        <f t="shared" si="103"/>
        <v>105.05050505050507</v>
      </c>
      <c r="I489" s="209">
        <f t="shared" si="104"/>
        <v>240.70000000000002</v>
      </c>
      <c r="J489" s="270" t="e">
        <f t="shared" si="105"/>
        <v>#VALUE!</v>
      </c>
      <c r="K489" s="210">
        <v>8.3000000000000007</v>
      </c>
      <c r="L489" s="271"/>
      <c r="M489" s="261"/>
      <c r="N489" s="248"/>
      <c r="O489" s="247"/>
      <c r="P489" s="249" t="str">
        <f>IF(O489&lt;&gt;"",MROUND(O489*64,Param_DSC!$C$60),"")</f>
        <v/>
      </c>
      <c r="Q489" s="249" t="str">
        <f t="shared" si="106"/>
        <v/>
      </c>
      <c r="R489" s="249">
        <f t="shared" si="107"/>
        <v>0</v>
      </c>
      <c r="S489" s="247"/>
      <c r="T489" s="280"/>
      <c r="U489" s="247"/>
    </row>
    <row r="490" spans="1:21" ht="12.75" customHeight="1" x14ac:dyDescent="0.2">
      <c r="A490" s="203" t="s">
        <v>715</v>
      </c>
      <c r="B490" s="204"/>
      <c r="C490" s="204"/>
      <c r="D490" s="204"/>
      <c r="E490" s="211" t="s">
        <v>724</v>
      </c>
      <c r="F490" s="206">
        <v>1.2</v>
      </c>
      <c r="G490" s="207">
        <f t="shared" si="102"/>
        <v>0.98999999999999988</v>
      </c>
      <c r="H490" s="208">
        <f t="shared" si="103"/>
        <v>26.262626262626267</v>
      </c>
      <c r="I490" s="209">
        <f t="shared" si="104"/>
        <v>127.60000000000001</v>
      </c>
      <c r="J490" s="270" t="e">
        <f t="shared" si="105"/>
        <v>#VALUE!</v>
      </c>
      <c r="K490" s="210">
        <v>4.4000000000000004</v>
      </c>
      <c r="L490" s="271"/>
      <c r="N490" s="248"/>
      <c r="O490" s="247"/>
      <c r="P490" s="249" t="str">
        <f>IF(O490&lt;&gt;"",MROUND(O490*64,Param_DSC!$C$60),"")</f>
        <v/>
      </c>
      <c r="Q490" s="249" t="str">
        <f t="shared" si="106"/>
        <v/>
      </c>
      <c r="R490" s="249">
        <f t="shared" si="107"/>
        <v>0</v>
      </c>
      <c r="S490" s="247"/>
      <c r="T490" s="280"/>
      <c r="U490" s="247"/>
    </row>
    <row r="491" spans="1:21" ht="12.75" customHeight="1" x14ac:dyDescent="0.2">
      <c r="A491" s="203" t="s">
        <v>715</v>
      </c>
      <c r="B491" s="204"/>
      <c r="C491" s="204"/>
      <c r="D491" s="204"/>
      <c r="E491" s="211" t="s">
        <v>723</v>
      </c>
      <c r="F491" s="206">
        <v>1.5</v>
      </c>
      <c r="G491" s="207">
        <f t="shared" si="102"/>
        <v>1.2374999999999998</v>
      </c>
      <c r="H491" s="208">
        <f t="shared" si="103"/>
        <v>21.010101010101014</v>
      </c>
      <c r="I491" s="209">
        <f t="shared" si="104"/>
        <v>124.69999999999999</v>
      </c>
      <c r="J491" s="270" t="e">
        <f t="shared" si="105"/>
        <v>#VALUE!</v>
      </c>
      <c r="K491" s="210">
        <v>4.3</v>
      </c>
      <c r="L491" s="271"/>
      <c r="N491" s="248"/>
      <c r="O491" s="247"/>
      <c r="P491" s="249" t="str">
        <f>IF(O491&lt;&gt;"",MROUND(O491*64,Param_DSC!$C$60),"")</f>
        <v/>
      </c>
      <c r="Q491" s="249" t="str">
        <f t="shared" si="106"/>
        <v/>
      </c>
      <c r="R491" s="249">
        <f t="shared" si="107"/>
        <v>0</v>
      </c>
      <c r="S491" s="247"/>
      <c r="T491" s="280"/>
      <c r="U491" s="247"/>
    </row>
    <row r="492" spans="1:21" x14ac:dyDescent="0.2">
      <c r="A492" s="203" t="s">
        <v>715</v>
      </c>
      <c r="B492" s="204"/>
      <c r="C492" s="204"/>
      <c r="D492" s="204"/>
      <c r="E492" s="211" t="s">
        <v>729</v>
      </c>
      <c r="F492" s="206">
        <v>0.55000000000000004</v>
      </c>
      <c r="G492" s="207">
        <f t="shared" si="102"/>
        <v>0.45374999999999999</v>
      </c>
      <c r="H492" s="208">
        <f t="shared" si="103"/>
        <v>57.300275482093667</v>
      </c>
      <c r="I492" s="209">
        <f t="shared" si="104"/>
        <v>226.2</v>
      </c>
      <c r="J492" s="270" t="e">
        <f t="shared" si="105"/>
        <v>#VALUE!</v>
      </c>
      <c r="K492" s="210">
        <v>7.8</v>
      </c>
      <c r="L492" s="271"/>
      <c r="N492" s="248"/>
      <c r="O492" s="247"/>
      <c r="P492" s="249" t="str">
        <f>IF(O492&lt;&gt;"",MROUND(O492*64,Param_DSC!$C$60),"")</f>
        <v/>
      </c>
      <c r="Q492" s="249" t="str">
        <f t="shared" si="106"/>
        <v/>
      </c>
      <c r="R492" s="249">
        <f t="shared" si="107"/>
        <v>0</v>
      </c>
      <c r="S492" s="247"/>
      <c r="T492" s="280"/>
      <c r="U492" s="247"/>
    </row>
    <row r="493" spans="1:21" ht="12.75" customHeight="1" x14ac:dyDescent="0.2">
      <c r="A493" s="203" t="s">
        <v>715</v>
      </c>
      <c r="B493" s="204"/>
      <c r="C493" s="204"/>
      <c r="D493" s="204"/>
      <c r="E493" s="211" t="s">
        <v>728</v>
      </c>
      <c r="F493" s="206">
        <v>0.62</v>
      </c>
      <c r="G493" s="207">
        <f t="shared" si="102"/>
        <v>0.51149999999999995</v>
      </c>
      <c r="H493" s="208">
        <f t="shared" si="103"/>
        <v>50.830889540566965</v>
      </c>
      <c r="I493" s="209">
        <f t="shared" si="104"/>
        <v>214.60000000000002</v>
      </c>
      <c r="J493" s="270" t="e">
        <f t="shared" si="105"/>
        <v>#VALUE!</v>
      </c>
      <c r="K493" s="210">
        <v>7.4</v>
      </c>
      <c r="L493" s="271"/>
      <c r="N493" s="248"/>
      <c r="O493" s="247"/>
      <c r="P493" s="249" t="str">
        <f>IF(O493&lt;&gt;"",MROUND(O493*64,Param_DSC!$C$60),"")</f>
        <v/>
      </c>
      <c r="Q493" s="249" t="str">
        <f t="shared" si="106"/>
        <v/>
      </c>
      <c r="R493" s="249">
        <f t="shared" si="107"/>
        <v>0</v>
      </c>
      <c r="S493" s="247"/>
      <c r="T493" s="280"/>
      <c r="U493" s="247"/>
    </row>
    <row r="494" spans="1:21" ht="12.75" customHeight="1" x14ac:dyDescent="0.2">
      <c r="A494" s="203" t="s">
        <v>715</v>
      </c>
      <c r="B494" s="204"/>
      <c r="C494" s="204"/>
      <c r="D494" s="204"/>
      <c r="E494" s="211" t="s">
        <v>727</v>
      </c>
      <c r="F494" s="206">
        <v>0.71</v>
      </c>
      <c r="G494" s="207">
        <f t="shared" si="102"/>
        <v>0.58574999999999999</v>
      </c>
      <c r="H494" s="208">
        <f t="shared" si="103"/>
        <v>44.387537345283825</v>
      </c>
      <c r="I494" s="209">
        <f t="shared" si="104"/>
        <v>197.2</v>
      </c>
      <c r="J494" s="270" t="e">
        <f t="shared" si="105"/>
        <v>#VALUE!</v>
      </c>
      <c r="K494" s="210">
        <v>6.8</v>
      </c>
      <c r="L494" s="271"/>
      <c r="N494" s="248"/>
      <c r="O494" s="247"/>
      <c r="P494" s="249" t="str">
        <f>IF(O494&lt;&gt;"",MROUND(O494*64,Param_DSC!$C$60),"")</f>
        <v/>
      </c>
      <c r="Q494" s="249" t="str">
        <f t="shared" si="106"/>
        <v/>
      </c>
      <c r="R494" s="249">
        <f t="shared" si="107"/>
        <v>0</v>
      </c>
      <c r="S494" s="247"/>
      <c r="T494" s="280"/>
      <c r="U494" s="247"/>
    </row>
    <row r="495" spans="1:21" x14ac:dyDescent="0.2">
      <c r="A495" s="203" t="s">
        <v>715</v>
      </c>
      <c r="B495" s="204"/>
      <c r="C495" s="204"/>
      <c r="D495" s="204"/>
      <c r="E495" s="211" t="s">
        <v>726</v>
      </c>
      <c r="F495" s="206">
        <v>0.82</v>
      </c>
      <c r="G495" s="207">
        <f t="shared" si="102"/>
        <v>0.67649999999999988</v>
      </c>
      <c r="H495" s="208">
        <f t="shared" si="103"/>
        <v>38.433111603843315</v>
      </c>
      <c r="I495" s="209">
        <f t="shared" si="104"/>
        <v>159.5</v>
      </c>
      <c r="J495" s="270" t="e">
        <f t="shared" si="105"/>
        <v>#VALUE!</v>
      </c>
      <c r="K495" s="210">
        <v>5.5</v>
      </c>
      <c r="L495" s="271"/>
      <c r="N495" s="248"/>
      <c r="O495" s="247"/>
      <c r="P495" s="249" t="str">
        <f>IF(O495&lt;&gt;"",MROUND(O495*64,Param_DSC!$C$60),"")</f>
        <v/>
      </c>
      <c r="Q495" s="249" t="str">
        <f t="shared" si="106"/>
        <v/>
      </c>
      <c r="R495" s="249">
        <f t="shared" si="107"/>
        <v>0</v>
      </c>
      <c r="S495" s="247"/>
      <c r="T495" s="280"/>
      <c r="U495" s="247"/>
    </row>
    <row r="496" spans="1:21" ht="12.75" customHeight="1" x14ac:dyDescent="0.2">
      <c r="A496" s="203" t="s">
        <v>715</v>
      </c>
      <c r="B496" s="204"/>
      <c r="C496" s="204"/>
      <c r="D496" s="204"/>
      <c r="E496" s="211" t="s">
        <v>725</v>
      </c>
      <c r="F496" s="206">
        <v>0.95</v>
      </c>
      <c r="G496" s="207">
        <f t="shared" si="102"/>
        <v>0.78374999999999995</v>
      </c>
      <c r="H496" s="208">
        <f t="shared" si="103"/>
        <v>33.173843700159495</v>
      </c>
      <c r="I496" s="209">
        <f t="shared" si="104"/>
        <v>142.10000000000002</v>
      </c>
      <c r="J496" s="270" t="e">
        <f t="shared" si="105"/>
        <v>#VALUE!</v>
      </c>
      <c r="K496" s="210">
        <v>4.9000000000000004</v>
      </c>
      <c r="L496" s="271"/>
      <c r="N496" s="248"/>
      <c r="O496" s="247"/>
      <c r="P496" s="249" t="str">
        <f>IF(O496&lt;&gt;"",MROUND(O496*64,Param_DSC!$C$60),"")</f>
        <v/>
      </c>
      <c r="Q496" s="249" t="str">
        <f t="shared" si="106"/>
        <v/>
      </c>
      <c r="R496" s="249">
        <f t="shared" si="107"/>
        <v>0</v>
      </c>
      <c r="S496" s="247"/>
      <c r="T496" s="280"/>
      <c r="U496" s="247"/>
    </row>
  </sheetData>
  <autoFilter ref="A2:L475"/>
  <sortState ref="A439:U466">
    <sortCondition ref="E439:E466"/>
  </sortState>
  <pageMargins left="0.70866141732283472" right="0.70866141732283472" top="0.74803149606299213" bottom="0.74803149606299213" header="0.31496062992125984" footer="0.31496062992125984"/>
  <pageSetup paperSize="9" scale="66" fitToHeight="7" orientation="portrait" horizontalDpi="4294967293" verticalDpi="0" r:id="rId1"/>
  <headerFooter>
    <oddHeader>&amp;C&amp;"-,Gras"&amp;14Référentiel de Flèches</oddHeader>
    <oddFooter>&amp;LLes Archers du Phénix&amp;R2015</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R438"/>
  <sheetViews>
    <sheetView topLeftCell="B37" workbookViewId="0">
      <selection activeCell="B3" sqref="B3:B5"/>
    </sheetView>
  </sheetViews>
  <sheetFormatPr baseColWidth="10" defaultRowHeight="15" x14ac:dyDescent="0.25"/>
  <cols>
    <col min="2" max="2" width="17" bestFit="1" customWidth="1"/>
    <col min="3" max="3" width="15.28515625" bestFit="1" customWidth="1"/>
    <col min="4" max="4" width="20" bestFit="1" customWidth="1"/>
    <col min="5" max="5" width="12.140625" bestFit="1" customWidth="1"/>
    <col min="6" max="6" width="10.5703125" bestFit="1" customWidth="1"/>
    <col min="7" max="7" width="16.85546875" bestFit="1" customWidth="1"/>
    <col min="8" max="8" width="23" bestFit="1" customWidth="1"/>
    <col min="9" max="9" width="9.85546875" bestFit="1" customWidth="1"/>
    <col min="10" max="10" width="9.85546875" customWidth="1"/>
    <col min="11" max="11" width="14.28515625" bestFit="1" customWidth="1"/>
    <col min="14" max="14" width="11.42578125" style="34"/>
    <col min="18" max="18" width="11.42578125" style="34"/>
  </cols>
  <sheetData>
    <row r="2" spans="2:14" x14ac:dyDescent="0.25">
      <c r="B2" s="1" t="s">
        <v>1</v>
      </c>
      <c r="C2" s="1" t="s">
        <v>204</v>
      </c>
    </row>
    <row r="3" spans="2:14" x14ac:dyDescent="0.25">
      <c r="B3" t="s">
        <v>2</v>
      </c>
      <c r="C3">
        <f>4*2.54</f>
        <v>10.16</v>
      </c>
    </row>
    <row r="4" spans="2:14" x14ac:dyDescent="0.25">
      <c r="B4" t="s">
        <v>3</v>
      </c>
      <c r="C4">
        <f>3*2.54</f>
        <v>7.62</v>
      </c>
    </row>
    <row r="5" spans="2:14" x14ac:dyDescent="0.25">
      <c r="B5" t="s">
        <v>4</v>
      </c>
      <c r="C5">
        <v>0</v>
      </c>
    </row>
    <row r="7" spans="2:14" x14ac:dyDescent="0.25">
      <c r="B7" s="1" t="s">
        <v>5</v>
      </c>
      <c r="C7" s="1" t="s">
        <v>15</v>
      </c>
      <c r="D7" s="1" t="s">
        <v>48</v>
      </c>
    </row>
    <row r="8" spans="2:14" x14ac:dyDescent="0.25">
      <c r="B8" t="s">
        <v>256</v>
      </c>
      <c r="C8" t="s">
        <v>16</v>
      </c>
    </row>
    <row r="9" spans="2:14" x14ac:dyDescent="0.25">
      <c r="B9" t="s">
        <v>6</v>
      </c>
      <c r="C9" t="s">
        <v>17</v>
      </c>
      <c r="D9" t="s">
        <v>253</v>
      </c>
    </row>
    <row r="10" spans="2:14" x14ac:dyDescent="0.25">
      <c r="B10" t="s">
        <v>7</v>
      </c>
      <c r="C10" t="s">
        <v>18</v>
      </c>
      <c r="D10" t="s">
        <v>14</v>
      </c>
    </row>
    <row r="11" spans="2:14" x14ac:dyDescent="0.25">
      <c r="B11" t="s">
        <v>8</v>
      </c>
      <c r="C11" t="s">
        <v>19</v>
      </c>
      <c r="D11" t="s">
        <v>49</v>
      </c>
    </row>
    <row r="12" spans="2:14" x14ac:dyDescent="0.25">
      <c r="B12" t="s">
        <v>9</v>
      </c>
      <c r="D12" t="s">
        <v>254</v>
      </c>
    </row>
    <row r="13" spans="2:14" x14ac:dyDescent="0.25">
      <c r="B13" t="s">
        <v>10</v>
      </c>
    </row>
    <row r="14" spans="2:14" x14ac:dyDescent="0.25">
      <c r="B14" t="s">
        <v>11</v>
      </c>
    </row>
    <row r="16" spans="2:14" x14ac:dyDescent="0.25">
      <c r="B16" s="1" t="s">
        <v>24</v>
      </c>
      <c r="C16" t="s">
        <v>203</v>
      </c>
      <c r="D16" s="1" t="s">
        <v>93</v>
      </c>
      <c r="E16" s="1" t="s">
        <v>255</v>
      </c>
      <c r="F16" s="1" t="s">
        <v>268</v>
      </c>
      <c r="G16" s="1" t="s">
        <v>278</v>
      </c>
      <c r="H16" s="1" t="s">
        <v>286</v>
      </c>
      <c r="I16" s="1" t="s">
        <v>190</v>
      </c>
      <c r="J16" s="1"/>
      <c r="K16" s="1" t="s">
        <v>306</v>
      </c>
      <c r="L16" s="1" t="s">
        <v>648</v>
      </c>
      <c r="M16" s="1" t="s">
        <v>652</v>
      </c>
      <c r="N16" s="55" t="s">
        <v>660</v>
      </c>
    </row>
    <row r="17" spans="2:15" x14ac:dyDescent="0.25">
      <c r="B17" t="s">
        <v>42</v>
      </c>
      <c r="C17">
        <f>LEFT(B17,2)*2.54</f>
        <v>147.32</v>
      </c>
      <c r="D17">
        <v>138</v>
      </c>
    </row>
    <row r="18" spans="2:15" x14ac:dyDescent="0.25">
      <c r="B18" t="s">
        <v>25</v>
      </c>
      <c r="C18">
        <f t="shared" ref="C18:C24" si="0">LEFT(B18,2)*2.54</f>
        <v>152.4</v>
      </c>
      <c r="D18">
        <v>143</v>
      </c>
      <c r="E18" t="s">
        <v>253</v>
      </c>
      <c r="F18" t="s">
        <v>269</v>
      </c>
      <c r="G18" t="s">
        <v>279</v>
      </c>
      <c r="H18" t="s">
        <v>288</v>
      </c>
      <c r="I18" t="s">
        <v>290</v>
      </c>
      <c r="K18" t="s">
        <v>308</v>
      </c>
      <c r="L18" t="s">
        <v>649</v>
      </c>
      <c r="M18" t="s">
        <v>653</v>
      </c>
      <c r="N18" s="34" t="s">
        <v>661</v>
      </c>
    </row>
    <row r="19" spans="2:15" x14ac:dyDescent="0.25">
      <c r="B19" t="s">
        <v>26</v>
      </c>
      <c r="C19">
        <f t="shared" si="0"/>
        <v>157.47999999999999</v>
      </c>
      <c r="D19">
        <v>148</v>
      </c>
      <c r="E19" t="s">
        <v>14</v>
      </c>
      <c r="F19" t="s">
        <v>274</v>
      </c>
      <c r="G19" t="s">
        <v>280</v>
      </c>
      <c r="H19" t="s">
        <v>286</v>
      </c>
      <c r="I19" t="s">
        <v>291</v>
      </c>
      <c r="K19" t="s">
        <v>307</v>
      </c>
      <c r="L19" t="s">
        <v>650</v>
      </c>
      <c r="M19" t="s">
        <v>654</v>
      </c>
      <c r="N19" s="34" t="s">
        <v>662</v>
      </c>
    </row>
    <row r="20" spans="2:15" x14ac:dyDescent="0.25">
      <c r="B20" t="s">
        <v>27</v>
      </c>
      <c r="C20">
        <f t="shared" si="0"/>
        <v>162.56</v>
      </c>
      <c r="D20">
        <v>153</v>
      </c>
      <c r="E20" t="s">
        <v>49</v>
      </c>
      <c r="F20" t="s">
        <v>299</v>
      </c>
      <c r="G20" t="s">
        <v>281</v>
      </c>
      <c r="L20" t="s">
        <v>651</v>
      </c>
    </row>
    <row r="21" spans="2:15" x14ac:dyDescent="0.25">
      <c r="B21" t="s">
        <v>28</v>
      </c>
      <c r="C21">
        <f t="shared" si="0"/>
        <v>167.64000000000001</v>
      </c>
      <c r="D21">
        <v>158</v>
      </c>
      <c r="F21" t="s">
        <v>272</v>
      </c>
      <c r="G21" t="s">
        <v>282</v>
      </c>
      <c r="L21" t="s">
        <v>658</v>
      </c>
    </row>
    <row r="22" spans="2:15" x14ac:dyDescent="0.25">
      <c r="B22" t="s">
        <v>29</v>
      </c>
      <c r="C22">
        <f t="shared" si="0"/>
        <v>172.72</v>
      </c>
      <c r="D22">
        <v>163</v>
      </c>
      <c r="F22" t="s">
        <v>271</v>
      </c>
    </row>
    <row r="23" spans="2:15" x14ac:dyDescent="0.25">
      <c r="B23" t="s">
        <v>30</v>
      </c>
      <c r="C23">
        <f t="shared" si="0"/>
        <v>177.8</v>
      </c>
      <c r="D23">
        <v>168</v>
      </c>
      <c r="F23" t="s">
        <v>273</v>
      </c>
    </row>
    <row r="24" spans="2:15" x14ac:dyDescent="0.25">
      <c r="B24" t="s">
        <v>43</v>
      </c>
      <c r="C24">
        <f t="shared" si="0"/>
        <v>182.88</v>
      </c>
      <c r="D24">
        <v>173</v>
      </c>
      <c r="F24" t="s">
        <v>270</v>
      </c>
    </row>
    <row r="26" spans="2:15" x14ac:dyDescent="0.25">
      <c r="B26" s="1" t="s">
        <v>35</v>
      </c>
      <c r="C26" s="1" t="s">
        <v>40</v>
      </c>
      <c r="D26" s="1" t="s">
        <v>41</v>
      </c>
      <c r="E26" s="1" t="s">
        <v>201</v>
      </c>
      <c r="F26" s="1" t="s">
        <v>44</v>
      </c>
      <c r="G26" s="1" t="s">
        <v>202</v>
      </c>
      <c r="H26" s="1" t="s">
        <v>50</v>
      </c>
      <c r="I26" s="1" t="s">
        <v>91</v>
      </c>
      <c r="J26" s="1"/>
      <c r="K26" s="1" t="s">
        <v>191</v>
      </c>
      <c r="L26" s="1" t="s">
        <v>240</v>
      </c>
    </row>
    <row r="27" spans="2:15" x14ac:dyDescent="0.25">
      <c r="B27" t="s">
        <v>36</v>
      </c>
      <c r="C27">
        <v>8</v>
      </c>
      <c r="G27" t="s">
        <v>60</v>
      </c>
      <c r="H27" s="3"/>
      <c r="L27" t="s">
        <v>244</v>
      </c>
      <c r="M27" s="34"/>
      <c r="O27" s="2"/>
    </row>
    <row r="28" spans="2:15" x14ac:dyDescent="0.25">
      <c r="B28" t="s">
        <v>37</v>
      </c>
      <c r="C28">
        <v>10</v>
      </c>
      <c r="D28" t="s">
        <v>68</v>
      </c>
      <c r="E28" t="s">
        <v>185</v>
      </c>
      <c r="F28" t="s">
        <v>655</v>
      </c>
      <c r="G28" t="s">
        <v>51</v>
      </c>
      <c r="H28" s="3" t="s">
        <v>77</v>
      </c>
      <c r="I28" s="3" t="s">
        <v>229</v>
      </c>
      <c r="J28" s="3"/>
      <c r="K28" t="s">
        <v>63</v>
      </c>
      <c r="L28" t="s">
        <v>241</v>
      </c>
      <c r="M28" s="34"/>
      <c r="O28" s="2"/>
    </row>
    <row r="29" spans="2:15" x14ac:dyDescent="0.25">
      <c r="B29" t="s">
        <v>38</v>
      </c>
      <c r="C29">
        <v>12</v>
      </c>
      <c r="D29" t="s">
        <v>81</v>
      </c>
      <c r="F29" t="s">
        <v>46</v>
      </c>
      <c r="G29" t="s">
        <v>56</v>
      </c>
      <c r="H29" s="3" t="s">
        <v>68</v>
      </c>
      <c r="I29" t="s">
        <v>230</v>
      </c>
      <c r="K29" t="s">
        <v>192</v>
      </c>
      <c r="L29" t="s">
        <v>242</v>
      </c>
      <c r="M29" s="34"/>
      <c r="O29" s="2"/>
    </row>
    <row r="30" spans="2:15" x14ac:dyDescent="0.25">
      <c r="C30">
        <v>14</v>
      </c>
      <c r="D30" t="s">
        <v>80</v>
      </c>
      <c r="E30" t="s">
        <v>186</v>
      </c>
      <c r="F30" t="s">
        <v>652</v>
      </c>
      <c r="G30" t="s">
        <v>55</v>
      </c>
      <c r="H30" s="4" t="s">
        <v>66</v>
      </c>
      <c r="I30" t="s">
        <v>231</v>
      </c>
      <c r="K30" t="s">
        <v>664</v>
      </c>
      <c r="L30" t="s">
        <v>243</v>
      </c>
      <c r="M30" s="34"/>
      <c r="O30" s="2"/>
    </row>
    <row r="31" spans="2:15" x14ac:dyDescent="0.25">
      <c r="C31">
        <v>16</v>
      </c>
      <c r="D31" t="s">
        <v>83</v>
      </c>
      <c r="E31" t="s">
        <v>186</v>
      </c>
      <c r="F31" t="s">
        <v>659</v>
      </c>
      <c r="G31" t="s">
        <v>59</v>
      </c>
      <c r="H31" s="3" t="s">
        <v>65</v>
      </c>
      <c r="I31" t="s">
        <v>232</v>
      </c>
      <c r="K31" t="s">
        <v>67</v>
      </c>
      <c r="M31" s="34"/>
      <c r="O31" s="2"/>
    </row>
    <row r="32" spans="2:15" x14ac:dyDescent="0.25">
      <c r="C32">
        <v>18</v>
      </c>
      <c r="D32" t="s">
        <v>88</v>
      </c>
      <c r="F32" t="s">
        <v>660</v>
      </c>
      <c r="G32" t="s">
        <v>61</v>
      </c>
      <c r="H32" t="s">
        <v>64</v>
      </c>
      <c r="I32" t="s">
        <v>231</v>
      </c>
      <c r="M32" s="34"/>
      <c r="O32" s="2"/>
    </row>
    <row r="33" spans="2:15" x14ac:dyDescent="0.25">
      <c r="C33">
        <v>20</v>
      </c>
      <c r="D33" t="s">
        <v>87</v>
      </c>
      <c r="E33" t="s">
        <v>187</v>
      </c>
      <c r="F33" t="s">
        <v>663</v>
      </c>
      <c r="G33" t="s">
        <v>53</v>
      </c>
      <c r="H33" t="s">
        <v>63</v>
      </c>
      <c r="I33" t="s">
        <v>195</v>
      </c>
      <c r="M33" s="34"/>
      <c r="O33" s="2"/>
    </row>
    <row r="34" spans="2:15" x14ac:dyDescent="0.25">
      <c r="D34" t="s">
        <v>47</v>
      </c>
      <c r="G34" t="s">
        <v>52</v>
      </c>
      <c r="H34" t="s">
        <v>70</v>
      </c>
      <c r="I34" t="s">
        <v>196</v>
      </c>
      <c r="M34" s="34"/>
      <c r="O34" s="2"/>
    </row>
    <row r="35" spans="2:15" x14ac:dyDescent="0.25">
      <c r="D35" t="s">
        <v>85</v>
      </c>
      <c r="E35" t="s">
        <v>186</v>
      </c>
      <c r="G35" t="s">
        <v>58</v>
      </c>
      <c r="H35" t="s">
        <v>192</v>
      </c>
      <c r="I35" t="s">
        <v>233</v>
      </c>
      <c r="M35" s="34"/>
      <c r="O35" s="2"/>
    </row>
    <row r="36" spans="2:15" x14ac:dyDescent="0.25">
      <c r="D36" t="s">
        <v>84</v>
      </c>
      <c r="G36" t="s">
        <v>57</v>
      </c>
      <c r="H36" t="s">
        <v>664</v>
      </c>
      <c r="I36" t="s">
        <v>234</v>
      </c>
      <c r="M36" s="34"/>
      <c r="O36" s="2"/>
    </row>
    <row r="37" spans="2:15" x14ac:dyDescent="0.25">
      <c r="D37" t="s">
        <v>86</v>
      </c>
      <c r="E37" t="s">
        <v>188</v>
      </c>
      <c r="G37" t="s">
        <v>54</v>
      </c>
      <c r="H37" t="s">
        <v>71</v>
      </c>
      <c r="I37" t="s">
        <v>197</v>
      </c>
      <c r="M37" s="34"/>
      <c r="O37" s="2"/>
    </row>
    <row r="38" spans="2:15" x14ac:dyDescent="0.25">
      <c r="D38" t="s">
        <v>82</v>
      </c>
      <c r="H38" t="s">
        <v>74</v>
      </c>
      <c r="I38" t="s">
        <v>198</v>
      </c>
      <c r="M38" s="34"/>
      <c r="O38" s="2"/>
    </row>
    <row r="39" spans="2:15" x14ac:dyDescent="0.25">
      <c r="D39" t="s">
        <v>79</v>
      </c>
      <c r="E39" t="s">
        <v>189</v>
      </c>
      <c r="H39" t="s">
        <v>73</v>
      </c>
      <c r="I39" t="s">
        <v>235</v>
      </c>
      <c r="M39" s="34"/>
      <c r="O39" s="2"/>
    </row>
    <row r="40" spans="2:15" x14ac:dyDescent="0.25">
      <c r="D40" t="s">
        <v>78</v>
      </c>
      <c r="E40" t="s">
        <v>186</v>
      </c>
      <c r="H40" t="s">
        <v>76</v>
      </c>
      <c r="I40" t="s">
        <v>236</v>
      </c>
      <c r="M40" s="34"/>
      <c r="O40" s="2"/>
    </row>
    <row r="41" spans="2:15" x14ac:dyDescent="0.25">
      <c r="H41" t="s">
        <v>75</v>
      </c>
      <c r="I41" t="s">
        <v>199</v>
      </c>
      <c r="M41" s="34"/>
      <c r="O41" s="2"/>
    </row>
    <row r="42" spans="2:15" x14ac:dyDescent="0.25">
      <c r="H42" t="s">
        <v>62</v>
      </c>
      <c r="I42" t="s">
        <v>237</v>
      </c>
      <c r="M42" s="34"/>
      <c r="O42" s="2"/>
    </row>
    <row r="43" spans="2:15" x14ac:dyDescent="0.25">
      <c r="H43" t="s">
        <v>69</v>
      </c>
      <c r="I43" t="s">
        <v>238</v>
      </c>
      <c r="M43" s="34"/>
    </row>
    <row r="44" spans="2:15" x14ac:dyDescent="0.25">
      <c r="H44" t="s">
        <v>72</v>
      </c>
      <c r="I44" t="s">
        <v>200</v>
      </c>
      <c r="M44" s="34"/>
    </row>
    <row r="45" spans="2:15" x14ac:dyDescent="0.25">
      <c r="H45" t="s">
        <v>67</v>
      </c>
      <c r="I45" t="s">
        <v>239</v>
      </c>
    </row>
    <row r="47" spans="2:15" x14ac:dyDescent="0.25">
      <c r="B47" t="s">
        <v>304</v>
      </c>
      <c r="C47" t="s">
        <v>305</v>
      </c>
    </row>
    <row r="48" spans="2:15" x14ac:dyDescent="0.25">
      <c r="B48" s="43"/>
      <c r="C48" s="43">
        <v>0</v>
      </c>
    </row>
    <row r="49" spans="2:3" x14ac:dyDescent="0.25">
      <c r="B49" s="44" t="s">
        <v>301</v>
      </c>
      <c r="C49" s="6">
        <v>20</v>
      </c>
    </row>
    <row r="50" spans="2:3" x14ac:dyDescent="0.25">
      <c r="B50" s="44" t="s">
        <v>302</v>
      </c>
      <c r="C50" s="6">
        <v>22</v>
      </c>
    </row>
    <row r="51" spans="2:3" x14ac:dyDescent="0.25">
      <c r="B51" s="44" t="s">
        <v>303</v>
      </c>
      <c r="C51" s="6">
        <v>23</v>
      </c>
    </row>
    <row r="339" spans="12:13" x14ac:dyDescent="0.25">
      <c r="M339" s="56"/>
    </row>
    <row r="340" spans="12:13" x14ac:dyDescent="0.25">
      <c r="M340" s="56"/>
    </row>
    <row r="341" spans="12:13" x14ac:dyDescent="0.25">
      <c r="M341" s="56"/>
    </row>
    <row r="342" spans="12:13" x14ac:dyDescent="0.25">
      <c r="M342" s="56"/>
    </row>
    <row r="343" spans="12:13" x14ac:dyDescent="0.25">
      <c r="M343" s="56"/>
    </row>
    <row r="344" spans="12:13" x14ac:dyDescent="0.25">
      <c r="M344" s="56"/>
    </row>
    <row r="345" spans="12:13" x14ac:dyDescent="0.25">
      <c r="L345" s="56"/>
      <c r="M345" s="58"/>
    </row>
    <row r="346" spans="12:13" x14ac:dyDescent="0.25">
      <c r="L346" s="56"/>
      <c r="M346" s="58"/>
    </row>
    <row r="347" spans="12:13" x14ac:dyDescent="0.25">
      <c r="L347" s="56"/>
      <c r="M347" s="58"/>
    </row>
    <row r="348" spans="12:13" x14ac:dyDescent="0.25">
      <c r="L348" s="56"/>
      <c r="M348" s="58"/>
    </row>
    <row r="349" spans="12:13" x14ac:dyDescent="0.25">
      <c r="L349" s="56"/>
      <c r="M349" s="58"/>
    </row>
    <row r="350" spans="12:13" x14ac:dyDescent="0.25">
      <c r="L350" s="56"/>
      <c r="M350" s="58"/>
    </row>
    <row r="351" spans="12:13" x14ac:dyDescent="0.25">
      <c r="L351" s="56"/>
      <c r="M351" s="58"/>
    </row>
    <row r="352" spans="12:13" x14ac:dyDescent="0.25">
      <c r="L352" s="56"/>
      <c r="M352" s="58"/>
    </row>
    <row r="353" spans="12:13" x14ac:dyDescent="0.25">
      <c r="L353" s="56"/>
      <c r="M353" s="58"/>
    </row>
    <row r="354" spans="12:13" x14ac:dyDescent="0.25">
      <c r="L354" s="56"/>
      <c r="M354" s="58"/>
    </row>
    <row r="355" spans="12:13" x14ac:dyDescent="0.25">
      <c r="L355" s="56"/>
      <c r="M355" s="58"/>
    </row>
    <row r="356" spans="12:13" x14ac:dyDescent="0.25">
      <c r="L356" s="56"/>
      <c r="M356" s="58"/>
    </row>
    <row r="357" spans="12:13" x14ac:dyDescent="0.25">
      <c r="L357" s="56"/>
      <c r="M357" s="58"/>
    </row>
    <row r="358" spans="12:13" x14ac:dyDescent="0.25">
      <c r="L358" s="56"/>
      <c r="M358" s="58"/>
    </row>
    <row r="359" spans="12:13" x14ac:dyDescent="0.25">
      <c r="L359" s="56"/>
      <c r="M359" s="58"/>
    </row>
    <row r="360" spans="12:13" x14ac:dyDescent="0.25">
      <c r="L360" s="56"/>
      <c r="M360" s="58"/>
    </row>
    <row r="361" spans="12:13" x14ac:dyDescent="0.25">
      <c r="L361" s="56"/>
      <c r="M361" s="58"/>
    </row>
    <row r="362" spans="12:13" x14ac:dyDescent="0.25">
      <c r="L362" s="56"/>
      <c r="M362" s="58"/>
    </row>
    <row r="363" spans="12:13" x14ac:dyDescent="0.25">
      <c r="L363" s="56"/>
      <c r="M363" s="58"/>
    </row>
    <row r="364" spans="12:13" x14ac:dyDescent="0.25">
      <c r="L364" s="56"/>
      <c r="M364" s="58"/>
    </row>
    <row r="365" spans="12:13" x14ac:dyDescent="0.25">
      <c r="L365" s="56"/>
      <c r="M365" s="58"/>
    </row>
    <row r="366" spans="12:13" x14ac:dyDescent="0.25">
      <c r="L366" s="56"/>
      <c r="M366" s="58"/>
    </row>
    <row r="367" spans="12:13" x14ac:dyDescent="0.25">
      <c r="L367" s="56"/>
      <c r="M367" s="58"/>
    </row>
    <row r="368" spans="12:13" x14ac:dyDescent="0.25">
      <c r="L368" s="56"/>
      <c r="M368" s="58"/>
    </row>
    <row r="369" spans="12:13" x14ac:dyDescent="0.25">
      <c r="L369" s="56"/>
      <c r="M369" s="58"/>
    </row>
    <row r="370" spans="12:13" x14ac:dyDescent="0.25">
      <c r="L370" s="56"/>
      <c r="M370" s="58"/>
    </row>
    <row r="371" spans="12:13" x14ac:dyDescent="0.25">
      <c r="L371" s="56"/>
      <c r="M371" s="58"/>
    </row>
    <row r="372" spans="12:13" x14ac:dyDescent="0.25">
      <c r="L372" s="56"/>
      <c r="M372" s="58"/>
    </row>
    <row r="373" spans="12:13" x14ac:dyDescent="0.25">
      <c r="L373" s="56"/>
      <c r="M373" s="58"/>
    </row>
    <row r="374" spans="12:13" x14ac:dyDescent="0.25">
      <c r="L374" s="56"/>
      <c r="M374" s="58"/>
    </row>
    <row r="375" spans="12:13" x14ac:dyDescent="0.25">
      <c r="L375" s="56"/>
      <c r="M375" s="58"/>
    </row>
    <row r="376" spans="12:13" x14ac:dyDescent="0.25">
      <c r="L376" s="56"/>
      <c r="M376" s="58"/>
    </row>
    <row r="377" spans="12:13" x14ac:dyDescent="0.25">
      <c r="L377" s="56"/>
      <c r="M377" s="58"/>
    </row>
    <row r="378" spans="12:13" x14ac:dyDescent="0.25">
      <c r="L378" s="56"/>
      <c r="M378" s="58"/>
    </row>
    <row r="379" spans="12:13" x14ac:dyDescent="0.25">
      <c r="L379" s="56"/>
      <c r="M379" s="58"/>
    </row>
    <row r="380" spans="12:13" x14ac:dyDescent="0.25">
      <c r="L380" s="56"/>
      <c r="M380" s="58"/>
    </row>
    <row r="381" spans="12:13" x14ac:dyDescent="0.25">
      <c r="L381" s="56"/>
      <c r="M381" s="58"/>
    </row>
    <row r="382" spans="12:13" x14ac:dyDescent="0.25">
      <c r="L382" s="56"/>
      <c r="M382" s="58"/>
    </row>
    <row r="383" spans="12:13" x14ac:dyDescent="0.25">
      <c r="L383" s="56"/>
      <c r="M383" s="58"/>
    </row>
    <row r="384" spans="12:13" x14ac:dyDescent="0.25">
      <c r="L384" s="56"/>
      <c r="M384" s="58"/>
    </row>
    <row r="385" spans="1:18" x14ac:dyDescent="0.25">
      <c r="L385" s="56"/>
      <c r="M385" s="58"/>
    </row>
    <row r="386" spans="1:18" x14ac:dyDescent="0.25">
      <c r="L386" s="56"/>
      <c r="M386" s="58"/>
    </row>
    <row r="387" spans="1:18" x14ac:dyDescent="0.25">
      <c r="L387" s="56"/>
      <c r="M387" s="58"/>
    </row>
    <row r="388" spans="1:18" x14ac:dyDescent="0.25">
      <c r="L388" s="56"/>
      <c r="M388" s="58"/>
    </row>
    <row r="389" spans="1:18" x14ac:dyDescent="0.25">
      <c r="L389" s="56"/>
      <c r="M389" s="58"/>
    </row>
    <row r="390" spans="1:18" x14ac:dyDescent="0.25">
      <c r="L390" s="56"/>
      <c r="M390" s="58"/>
    </row>
    <row r="391" spans="1:18" x14ac:dyDescent="0.25">
      <c r="L391" s="56"/>
      <c r="M391" s="58"/>
    </row>
    <row r="392" spans="1:18" x14ac:dyDescent="0.25">
      <c r="L392" s="56"/>
      <c r="M392" s="58"/>
    </row>
    <row r="393" spans="1:18" x14ac:dyDescent="0.25">
      <c r="L393" s="56"/>
      <c r="M393" s="58"/>
    </row>
    <row r="394" spans="1:18" x14ac:dyDescent="0.25">
      <c r="L394" s="56"/>
      <c r="M394" s="58"/>
    </row>
    <row r="395" spans="1:18" x14ac:dyDescent="0.25">
      <c r="A395" t="s">
        <v>665</v>
      </c>
      <c r="B395" t="s">
        <v>682</v>
      </c>
      <c r="C395">
        <v>0.25</v>
      </c>
      <c r="F395">
        <f>H395*29</f>
        <v>290</v>
      </c>
      <c r="H395">
        <v>10</v>
      </c>
      <c r="I395">
        <v>31</v>
      </c>
      <c r="L395">
        <v>0.245</v>
      </c>
      <c r="M395">
        <v>0.28499999999999998</v>
      </c>
      <c r="R395" s="57">
        <f>M395*25.4</f>
        <v>7.238999999999999</v>
      </c>
    </row>
    <row r="396" spans="1:18" x14ac:dyDescent="0.25">
      <c r="A396" t="s">
        <v>665</v>
      </c>
      <c r="B396" t="s">
        <v>683</v>
      </c>
      <c r="C396">
        <v>0.3</v>
      </c>
      <c r="F396">
        <f t="shared" ref="F396:F438" si="1">H396*29</f>
        <v>261</v>
      </c>
      <c r="H396">
        <v>9</v>
      </c>
      <c r="I396">
        <v>31</v>
      </c>
      <c r="L396">
        <v>0.245</v>
      </c>
      <c r="M396">
        <v>0.28499999999999998</v>
      </c>
      <c r="R396" s="57">
        <f t="shared" ref="R396:R423" si="2">M396*25.4</f>
        <v>7.238999999999999</v>
      </c>
    </row>
    <row r="397" spans="1:18" x14ac:dyDescent="0.25">
      <c r="A397" t="s">
        <v>665</v>
      </c>
      <c r="B397" t="s">
        <v>684</v>
      </c>
      <c r="C397">
        <v>0.35</v>
      </c>
      <c r="F397">
        <f t="shared" si="1"/>
        <v>232</v>
      </c>
      <c r="H397">
        <v>8</v>
      </c>
      <c r="I397">
        <v>31</v>
      </c>
      <c r="L397">
        <v>0.245</v>
      </c>
      <c r="M397">
        <v>0.29299999999999998</v>
      </c>
      <c r="R397" s="57">
        <f t="shared" si="2"/>
        <v>7.4421999999999988</v>
      </c>
    </row>
    <row r="398" spans="1:18" x14ac:dyDescent="0.25">
      <c r="A398" t="s">
        <v>665</v>
      </c>
      <c r="B398" t="s">
        <v>685</v>
      </c>
      <c r="C398">
        <v>0.4</v>
      </c>
      <c r="F398">
        <f t="shared" si="1"/>
        <v>217.5</v>
      </c>
      <c r="H398">
        <v>7.5</v>
      </c>
      <c r="I398">
        <v>31</v>
      </c>
      <c r="L398">
        <v>0.245</v>
      </c>
      <c r="M398">
        <v>0.29499999999999998</v>
      </c>
      <c r="R398" s="57">
        <f t="shared" si="2"/>
        <v>7.4929999999999994</v>
      </c>
    </row>
    <row r="399" spans="1:18" x14ac:dyDescent="0.25">
      <c r="A399" t="s">
        <v>665</v>
      </c>
      <c r="B399" t="s">
        <v>686</v>
      </c>
      <c r="C399">
        <v>0.5</v>
      </c>
      <c r="F399">
        <f t="shared" si="1"/>
        <v>188.5</v>
      </c>
      <c r="H399">
        <v>6.5</v>
      </c>
      <c r="I399">
        <v>31</v>
      </c>
      <c r="L399">
        <v>0.245</v>
      </c>
      <c r="M399">
        <v>0.29899999999999999</v>
      </c>
      <c r="R399" s="57">
        <f t="shared" si="2"/>
        <v>7.5945999999999989</v>
      </c>
    </row>
    <row r="400" spans="1:18" x14ac:dyDescent="0.25">
      <c r="A400" t="s">
        <v>665</v>
      </c>
      <c r="B400" t="s">
        <v>687</v>
      </c>
      <c r="C400">
        <v>0.55000000000000004</v>
      </c>
      <c r="F400">
        <f t="shared" si="1"/>
        <v>165.3</v>
      </c>
      <c r="H400">
        <v>5.7</v>
      </c>
      <c r="I400">
        <v>31</v>
      </c>
      <c r="L400">
        <v>0.245</v>
      </c>
      <c r="M400">
        <v>0.30299999999999999</v>
      </c>
      <c r="R400" s="57">
        <f t="shared" si="2"/>
        <v>7.6961999999999993</v>
      </c>
    </row>
    <row r="401" spans="1:18" x14ac:dyDescent="0.25">
      <c r="A401" t="s">
        <v>665</v>
      </c>
      <c r="B401" t="s">
        <v>680</v>
      </c>
      <c r="C401">
        <v>0.27500000000000002</v>
      </c>
      <c r="F401">
        <f t="shared" si="1"/>
        <v>319</v>
      </c>
      <c r="H401">
        <v>11</v>
      </c>
      <c r="I401">
        <v>32</v>
      </c>
      <c r="L401">
        <v>0.27</v>
      </c>
      <c r="M401">
        <v>0.34300000000000003</v>
      </c>
      <c r="R401" s="57">
        <f t="shared" si="2"/>
        <v>8.7122000000000011</v>
      </c>
    </row>
    <row r="402" spans="1:18" x14ac:dyDescent="0.25">
      <c r="A402" t="s">
        <v>665</v>
      </c>
      <c r="B402" t="s">
        <v>681</v>
      </c>
      <c r="C402">
        <v>0.375</v>
      </c>
      <c r="F402">
        <f t="shared" si="1"/>
        <v>284.20000000000005</v>
      </c>
      <c r="H402">
        <v>9.8000000000000007</v>
      </c>
      <c r="I402">
        <v>32</v>
      </c>
      <c r="L402">
        <v>0.27</v>
      </c>
      <c r="M402">
        <v>0.35</v>
      </c>
      <c r="R402" s="57">
        <f t="shared" si="2"/>
        <v>8.8899999999999988</v>
      </c>
    </row>
    <row r="403" spans="1:18" x14ac:dyDescent="0.25">
      <c r="A403" t="s">
        <v>665</v>
      </c>
      <c r="B403" t="s">
        <v>679</v>
      </c>
      <c r="C403">
        <v>0.17499999999999999</v>
      </c>
      <c r="F403">
        <f t="shared" si="1"/>
        <v>435</v>
      </c>
      <c r="H403">
        <v>15</v>
      </c>
      <c r="I403">
        <v>32</v>
      </c>
      <c r="L403">
        <v>0.28000000000000003</v>
      </c>
      <c r="M403">
        <v>0.38</v>
      </c>
      <c r="R403" s="57">
        <f t="shared" si="2"/>
        <v>9.6519999999999992</v>
      </c>
    </row>
    <row r="404" spans="1:18" x14ac:dyDescent="0.25">
      <c r="A404" t="s">
        <v>665</v>
      </c>
      <c r="B404" t="s">
        <v>678</v>
      </c>
      <c r="C404">
        <v>0.2</v>
      </c>
      <c r="F404">
        <f t="shared" si="1"/>
        <v>371.20000000000005</v>
      </c>
      <c r="H404">
        <v>12.8</v>
      </c>
      <c r="I404">
        <v>32</v>
      </c>
      <c r="L404">
        <v>0.27700000000000002</v>
      </c>
      <c r="M404">
        <v>0.372</v>
      </c>
      <c r="R404" s="57">
        <f t="shared" si="2"/>
        <v>9.4487999999999985</v>
      </c>
    </row>
    <row r="405" spans="1:18" x14ac:dyDescent="0.25">
      <c r="A405" t="s">
        <v>665</v>
      </c>
      <c r="B405" t="s">
        <v>677</v>
      </c>
      <c r="C405">
        <v>0.32500000000000001</v>
      </c>
      <c r="F405">
        <f t="shared" si="1"/>
        <v>333.5</v>
      </c>
      <c r="H405">
        <v>11.5</v>
      </c>
      <c r="I405">
        <v>32</v>
      </c>
      <c r="L405">
        <v>0.27400000000000002</v>
      </c>
      <c r="M405">
        <v>0.36199999999999999</v>
      </c>
      <c r="R405" s="57">
        <f t="shared" si="2"/>
        <v>9.194799999999999</v>
      </c>
    </row>
    <row r="406" spans="1:18" x14ac:dyDescent="0.25">
      <c r="A406" t="s">
        <v>665</v>
      </c>
      <c r="B406" t="s">
        <v>666</v>
      </c>
      <c r="C406">
        <v>0.32500000000000001</v>
      </c>
      <c r="F406">
        <f t="shared" si="1"/>
        <v>159.5</v>
      </c>
      <c r="H406">
        <v>5.5</v>
      </c>
      <c r="I406">
        <v>32</v>
      </c>
      <c r="L406">
        <v>0.27300000000000002</v>
      </c>
      <c r="M406">
        <v>0.38500000000000001</v>
      </c>
      <c r="R406" s="57">
        <f t="shared" si="2"/>
        <v>9.7789999999999999</v>
      </c>
    </row>
    <row r="407" spans="1:18" x14ac:dyDescent="0.25">
      <c r="A407" t="s">
        <v>665</v>
      </c>
      <c r="B407" t="s">
        <v>668</v>
      </c>
      <c r="C407">
        <v>0.35</v>
      </c>
      <c r="F407">
        <f t="shared" si="1"/>
        <v>174</v>
      </c>
      <c r="H407">
        <v>6</v>
      </c>
      <c r="I407">
        <v>32</v>
      </c>
      <c r="L407">
        <v>0.27300000000000002</v>
      </c>
      <c r="M407">
        <v>0.38500000000000001</v>
      </c>
      <c r="R407" s="57">
        <f t="shared" si="2"/>
        <v>9.7789999999999999</v>
      </c>
    </row>
    <row r="408" spans="1:18" x14ac:dyDescent="0.25">
      <c r="A408" t="s">
        <v>665</v>
      </c>
      <c r="B408" t="s">
        <v>667</v>
      </c>
      <c r="C408">
        <v>0.35</v>
      </c>
      <c r="F408">
        <f t="shared" si="1"/>
        <v>194.3</v>
      </c>
      <c r="H408">
        <v>6.7</v>
      </c>
      <c r="I408">
        <v>32</v>
      </c>
      <c r="L408">
        <v>0.27300000000000002</v>
      </c>
      <c r="M408">
        <v>0.38500000000000001</v>
      </c>
      <c r="R408" s="57">
        <f t="shared" si="2"/>
        <v>9.7789999999999999</v>
      </c>
    </row>
    <row r="409" spans="1:18" x14ac:dyDescent="0.25">
      <c r="A409" t="s">
        <v>665</v>
      </c>
      <c r="B409" t="s">
        <v>669</v>
      </c>
      <c r="C409">
        <v>0.35</v>
      </c>
      <c r="F409">
        <f t="shared" si="1"/>
        <v>203</v>
      </c>
      <c r="H409">
        <v>7</v>
      </c>
      <c r="I409">
        <v>32</v>
      </c>
      <c r="L409">
        <v>0.27300000000000002</v>
      </c>
      <c r="M409">
        <v>0.38500000000000001</v>
      </c>
      <c r="R409" s="57">
        <f t="shared" si="2"/>
        <v>9.7789999999999999</v>
      </c>
    </row>
    <row r="410" spans="1:18" x14ac:dyDescent="0.25">
      <c r="A410" t="s">
        <v>665</v>
      </c>
      <c r="B410" t="s">
        <v>688</v>
      </c>
      <c r="C410">
        <v>0.45</v>
      </c>
      <c r="F410">
        <f t="shared" si="1"/>
        <v>188.5</v>
      </c>
      <c r="H410">
        <v>6.5</v>
      </c>
      <c r="I410">
        <v>32</v>
      </c>
      <c r="L410">
        <v>0.22600000000000001</v>
      </c>
      <c r="M410">
        <v>0.28299999999999997</v>
      </c>
      <c r="R410" s="57">
        <f t="shared" si="2"/>
        <v>7.1881999999999993</v>
      </c>
    </row>
    <row r="411" spans="1:18" x14ac:dyDescent="0.25">
      <c r="A411" t="s">
        <v>665</v>
      </c>
      <c r="B411" t="s">
        <v>670</v>
      </c>
      <c r="C411">
        <v>0.35</v>
      </c>
      <c r="F411">
        <f t="shared" si="1"/>
        <v>203</v>
      </c>
      <c r="H411">
        <v>7</v>
      </c>
      <c r="I411">
        <v>32</v>
      </c>
      <c r="L411">
        <v>0.22800000000000001</v>
      </c>
      <c r="M411">
        <v>0.28699999999999998</v>
      </c>
      <c r="R411" s="57">
        <f t="shared" si="2"/>
        <v>7.2897999999999987</v>
      </c>
    </row>
    <row r="412" spans="1:18" x14ac:dyDescent="0.25">
      <c r="A412" t="s">
        <v>665</v>
      </c>
      <c r="B412" t="s">
        <v>671</v>
      </c>
      <c r="C412">
        <v>0.35</v>
      </c>
      <c r="F412">
        <f t="shared" si="1"/>
        <v>217.5</v>
      </c>
      <c r="H412">
        <v>7.5</v>
      </c>
      <c r="I412">
        <v>32</v>
      </c>
      <c r="L412">
        <v>0.22800000000000001</v>
      </c>
      <c r="M412">
        <v>0.28799999999999998</v>
      </c>
      <c r="R412" s="57">
        <f t="shared" si="2"/>
        <v>7.315199999999999</v>
      </c>
    </row>
    <row r="413" spans="1:18" x14ac:dyDescent="0.25">
      <c r="A413" t="s">
        <v>665</v>
      </c>
      <c r="B413" t="s">
        <v>672</v>
      </c>
      <c r="C413">
        <v>0.3</v>
      </c>
      <c r="F413">
        <f t="shared" si="1"/>
        <v>261</v>
      </c>
      <c r="H413">
        <v>9</v>
      </c>
      <c r="I413">
        <v>32</v>
      </c>
      <c r="L413">
        <v>0.23</v>
      </c>
      <c r="M413">
        <v>0.28999999999999998</v>
      </c>
      <c r="R413" s="57">
        <f t="shared" si="2"/>
        <v>7.3659999999999988</v>
      </c>
    </row>
    <row r="414" spans="1:18" x14ac:dyDescent="0.25">
      <c r="A414" t="s">
        <v>665</v>
      </c>
      <c r="B414" t="s">
        <v>673</v>
      </c>
      <c r="C414">
        <v>0.27500000000000002</v>
      </c>
      <c r="F414">
        <f t="shared" si="1"/>
        <v>290</v>
      </c>
      <c r="H414">
        <v>10</v>
      </c>
      <c r="I414">
        <v>32</v>
      </c>
      <c r="L414">
        <v>0.23200000000000001</v>
      </c>
      <c r="M414">
        <v>0.29299999999999998</v>
      </c>
      <c r="R414" s="57">
        <f t="shared" si="2"/>
        <v>7.4421999999999988</v>
      </c>
    </row>
    <row r="415" spans="1:18" x14ac:dyDescent="0.25">
      <c r="A415" t="s">
        <v>665</v>
      </c>
      <c r="B415" t="s">
        <v>674</v>
      </c>
      <c r="C415">
        <v>0.25</v>
      </c>
      <c r="F415">
        <f t="shared" si="1"/>
        <v>319</v>
      </c>
      <c r="H415">
        <v>11</v>
      </c>
      <c r="I415">
        <v>32</v>
      </c>
      <c r="L415">
        <v>0.23300000000000001</v>
      </c>
      <c r="M415">
        <v>0.29499999999999998</v>
      </c>
      <c r="R415" s="57">
        <f t="shared" si="2"/>
        <v>7.4929999999999994</v>
      </c>
    </row>
    <row r="416" spans="1:18" x14ac:dyDescent="0.25">
      <c r="A416" t="s">
        <v>665</v>
      </c>
      <c r="B416" t="s">
        <v>675</v>
      </c>
      <c r="C416">
        <v>0.375</v>
      </c>
      <c r="F416">
        <f t="shared" si="1"/>
        <v>174</v>
      </c>
      <c r="H416">
        <v>6</v>
      </c>
      <c r="I416">
        <v>32</v>
      </c>
      <c r="L416">
        <v>0.252</v>
      </c>
      <c r="M416">
        <v>0.35699999999999998</v>
      </c>
      <c r="R416" s="57">
        <f t="shared" si="2"/>
        <v>9.0677999999999983</v>
      </c>
    </row>
    <row r="417" spans="1:18" x14ac:dyDescent="0.25">
      <c r="A417" t="s">
        <v>665</v>
      </c>
      <c r="B417" t="s">
        <v>676</v>
      </c>
      <c r="C417">
        <v>0.32500000000000001</v>
      </c>
      <c r="F417">
        <f t="shared" si="1"/>
        <v>203</v>
      </c>
      <c r="H417">
        <v>7</v>
      </c>
      <c r="I417">
        <v>32</v>
      </c>
      <c r="L417">
        <v>0.252</v>
      </c>
      <c r="M417">
        <v>0.35699999999999998</v>
      </c>
      <c r="R417" s="57">
        <f t="shared" si="2"/>
        <v>9.0677999999999983</v>
      </c>
    </row>
    <row r="418" spans="1:18" x14ac:dyDescent="0.25">
      <c r="A418" t="s">
        <v>665</v>
      </c>
      <c r="B418" t="s">
        <v>689</v>
      </c>
      <c r="C418">
        <v>0.32500000000000001</v>
      </c>
      <c r="F418">
        <f t="shared" si="1"/>
        <v>145</v>
      </c>
      <c r="H418">
        <v>5</v>
      </c>
      <c r="I418">
        <v>32</v>
      </c>
      <c r="L418">
        <v>0.26100000000000001</v>
      </c>
      <c r="M418">
        <v>0.32800000000000001</v>
      </c>
      <c r="R418" s="57">
        <f t="shared" si="2"/>
        <v>8.3311999999999991</v>
      </c>
    </row>
    <row r="419" spans="1:18" x14ac:dyDescent="0.25">
      <c r="A419" t="s">
        <v>665</v>
      </c>
      <c r="B419" t="s">
        <v>690</v>
      </c>
      <c r="C419">
        <v>0.35</v>
      </c>
      <c r="F419">
        <f t="shared" si="1"/>
        <v>174</v>
      </c>
      <c r="H419">
        <v>6</v>
      </c>
      <c r="I419">
        <v>32</v>
      </c>
      <c r="L419">
        <v>0.26300000000000001</v>
      </c>
      <c r="M419">
        <v>0.33</v>
      </c>
      <c r="R419" s="57">
        <f t="shared" si="2"/>
        <v>8.3819999999999997</v>
      </c>
    </row>
    <row r="420" spans="1:18" x14ac:dyDescent="0.25">
      <c r="A420" t="s">
        <v>665</v>
      </c>
      <c r="B420" t="s">
        <v>691</v>
      </c>
      <c r="C420">
        <v>0.25</v>
      </c>
      <c r="F420">
        <f t="shared" si="1"/>
        <v>232</v>
      </c>
      <c r="H420">
        <v>8</v>
      </c>
      <c r="I420">
        <v>32</v>
      </c>
      <c r="L420">
        <v>0.26300000000000001</v>
      </c>
      <c r="M420">
        <v>0.33600000000000002</v>
      </c>
      <c r="R420" s="57">
        <f t="shared" si="2"/>
        <v>8.5343999999999998</v>
      </c>
    </row>
    <row r="421" spans="1:18" x14ac:dyDescent="0.25">
      <c r="A421" t="s">
        <v>665</v>
      </c>
      <c r="B421" t="s">
        <v>692</v>
      </c>
      <c r="C421">
        <v>0.22500000000000001</v>
      </c>
      <c r="F421">
        <f t="shared" si="1"/>
        <v>243.60000000000002</v>
      </c>
      <c r="H421">
        <v>8.4</v>
      </c>
      <c r="I421">
        <v>32</v>
      </c>
      <c r="L421">
        <v>0.26300000000000001</v>
      </c>
      <c r="M421">
        <v>0.33700000000000002</v>
      </c>
      <c r="R421" s="57">
        <f t="shared" si="2"/>
        <v>8.5597999999999992</v>
      </c>
    </row>
    <row r="422" spans="1:18" x14ac:dyDescent="0.25">
      <c r="A422" t="s">
        <v>665</v>
      </c>
      <c r="B422" t="s">
        <v>693</v>
      </c>
      <c r="C422">
        <v>0.22500000000000001</v>
      </c>
      <c r="F422">
        <f t="shared" si="1"/>
        <v>253.75</v>
      </c>
      <c r="H422">
        <v>8.75</v>
      </c>
      <c r="I422">
        <v>32</v>
      </c>
      <c r="L422">
        <v>0.26300000000000001</v>
      </c>
      <c r="M422">
        <v>0.33700000000000002</v>
      </c>
      <c r="R422" s="57">
        <f t="shared" si="2"/>
        <v>8.5597999999999992</v>
      </c>
    </row>
    <row r="423" spans="1:18" x14ac:dyDescent="0.25">
      <c r="A423" t="s">
        <v>665</v>
      </c>
      <c r="B423" t="s">
        <v>694</v>
      </c>
      <c r="C423">
        <v>0.2</v>
      </c>
      <c r="F423">
        <f t="shared" si="1"/>
        <v>290</v>
      </c>
      <c r="H423">
        <v>10</v>
      </c>
      <c r="I423">
        <v>32</v>
      </c>
      <c r="L423">
        <v>0.27</v>
      </c>
      <c r="M423">
        <v>0.34399999999999997</v>
      </c>
      <c r="R423" s="57">
        <f t="shared" si="2"/>
        <v>8.7375999999999987</v>
      </c>
    </row>
    <row r="424" spans="1:18" x14ac:dyDescent="0.25">
      <c r="F424">
        <f t="shared" si="1"/>
        <v>0</v>
      </c>
    </row>
    <row r="425" spans="1:18" x14ac:dyDescent="0.25">
      <c r="F425">
        <f t="shared" si="1"/>
        <v>0</v>
      </c>
    </row>
    <row r="426" spans="1:18" x14ac:dyDescent="0.25">
      <c r="F426">
        <f t="shared" si="1"/>
        <v>0</v>
      </c>
    </row>
    <row r="427" spans="1:18" x14ac:dyDescent="0.25">
      <c r="F427">
        <f t="shared" si="1"/>
        <v>0</v>
      </c>
    </row>
    <row r="428" spans="1:18" x14ac:dyDescent="0.25">
      <c r="F428">
        <f t="shared" si="1"/>
        <v>0</v>
      </c>
    </row>
    <row r="429" spans="1:18" x14ac:dyDescent="0.25">
      <c r="F429">
        <f t="shared" si="1"/>
        <v>0</v>
      </c>
    </row>
    <row r="430" spans="1:18" x14ac:dyDescent="0.25">
      <c r="F430">
        <f t="shared" si="1"/>
        <v>0</v>
      </c>
    </row>
    <row r="431" spans="1:18" x14ac:dyDescent="0.25">
      <c r="F431">
        <f t="shared" si="1"/>
        <v>0</v>
      </c>
    </row>
    <row r="432" spans="1:18" x14ac:dyDescent="0.25">
      <c r="F432">
        <f t="shared" si="1"/>
        <v>0</v>
      </c>
    </row>
    <row r="433" spans="6:6" x14ac:dyDescent="0.25">
      <c r="F433">
        <f t="shared" si="1"/>
        <v>0</v>
      </c>
    </row>
    <row r="434" spans="6:6" x14ac:dyDescent="0.25">
      <c r="F434">
        <f t="shared" si="1"/>
        <v>0</v>
      </c>
    </row>
    <row r="435" spans="6:6" x14ac:dyDescent="0.25">
      <c r="F435">
        <f t="shared" si="1"/>
        <v>0</v>
      </c>
    </row>
    <row r="436" spans="6:6" x14ac:dyDescent="0.25">
      <c r="F436">
        <f t="shared" si="1"/>
        <v>0</v>
      </c>
    </row>
    <row r="437" spans="6:6" x14ac:dyDescent="0.25">
      <c r="F437">
        <f t="shared" si="1"/>
        <v>0</v>
      </c>
    </row>
    <row r="438" spans="6:6" x14ac:dyDescent="0.25">
      <c r="F438">
        <f t="shared" si="1"/>
        <v>0</v>
      </c>
    </row>
  </sheetData>
  <sortState ref="A55:I67">
    <sortCondition ref="A55:A67"/>
  </sortState>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B2:M427"/>
  <sheetViews>
    <sheetView showGridLines="0" topLeftCell="B64" workbookViewId="0">
      <selection activeCell="B3" sqref="B3:B5"/>
    </sheetView>
  </sheetViews>
  <sheetFormatPr baseColWidth="10" defaultRowHeight="12.75" x14ac:dyDescent="0.25"/>
  <cols>
    <col min="1" max="1" width="2.5703125" style="61" customWidth="1"/>
    <col min="2" max="2" width="26.140625" style="61" bestFit="1" customWidth="1"/>
    <col min="3" max="3" width="13.7109375" style="61" customWidth="1"/>
    <col min="4" max="4" width="9.42578125" style="61" bestFit="1" customWidth="1"/>
    <col min="5" max="5" width="6.5703125" style="61" bestFit="1" customWidth="1"/>
    <col min="6" max="6" width="11.42578125" style="81"/>
    <col min="7" max="8" width="11.42578125" style="61"/>
    <col min="9" max="9" width="11.42578125" style="78"/>
    <col min="10" max="12" width="11.42578125" style="61"/>
    <col min="13" max="13" width="11.42578125" style="78"/>
    <col min="14" max="16384" width="11.42578125" style="61"/>
  </cols>
  <sheetData>
    <row r="2" spans="2:9" x14ac:dyDescent="0.25">
      <c r="B2" s="75" t="s">
        <v>702</v>
      </c>
      <c r="C2" s="76" t="s">
        <v>710</v>
      </c>
      <c r="D2" s="77" t="s">
        <v>105</v>
      </c>
      <c r="E2" s="5"/>
      <c r="F2" s="73"/>
      <c r="G2" s="61">
        <v>3</v>
      </c>
      <c r="H2" s="61">
        <f>0.0006*G2^3+0.0425*G2^2-2.5475*G2+5.6107</f>
        <v>-1.6331000000000007</v>
      </c>
    </row>
    <row r="3" spans="2:9" x14ac:dyDescent="0.25">
      <c r="C3" s="79" t="s">
        <v>102</v>
      </c>
      <c r="D3" s="80">
        <f>3.2*3</f>
        <v>9.6000000000000014</v>
      </c>
    </row>
    <row r="4" spans="2:9" x14ac:dyDescent="0.25">
      <c r="C4" s="82" t="s">
        <v>103</v>
      </c>
      <c r="D4" s="62">
        <f>D3/0.3</f>
        <v>32.000000000000007</v>
      </c>
    </row>
    <row r="6" spans="2:9" x14ac:dyDescent="0.2">
      <c r="B6" s="75" t="s">
        <v>703</v>
      </c>
      <c r="C6" s="76" t="s">
        <v>701</v>
      </c>
      <c r="D6" s="83" t="s">
        <v>105</v>
      </c>
      <c r="E6" s="77" t="s">
        <v>700</v>
      </c>
      <c r="H6" s="61" t="s">
        <v>804</v>
      </c>
      <c r="I6" s="11" t="s">
        <v>805</v>
      </c>
    </row>
    <row r="7" spans="2:9" x14ac:dyDescent="0.2">
      <c r="C7" s="84">
        <v>-0.1875</v>
      </c>
      <c r="D7" s="85">
        <v>18</v>
      </c>
      <c r="E7" s="86">
        <f t="shared" ref="E7:E17" si="0">C7*25.4</f>
        <v>-4.7624999999999993</v>
      </c>
      <c r="I7" s="11" t="s">
        <v>806</v>
      </c>
    </row>
    <row r="8" spans="2:9" x14ac:dyDescent="0.25">
      <c r="C8" s="87">
        <v>-0.125</v>
      </c>
      <c r="D8" s="88">
        <v>15</v>
      </c>
      <c r="E8" s="89">
        <f t="shared" si="0"/>
        <v>-3.1749999999999998</v>
      </c>
    </row>
    <row r="9" spans="2:9" x14ac:dyDescent="0.25">
      <c r="C9" s="87">
        <v>-6.25E-2</v>
      </c>
      <c r="D9" s="88">
        <v>10</v>
      </c>
      <c r="E9" s="89">
        <f t="shared" si="0"/>
        <v>-1.5874999999999999</v>
      </c>
      <c r="H9" s="66"/>
    </row>
    <row r="10" spans="2:9" x14ac:dyDescent="0.25">
      <c r="C10" s="90">
        <v>0</v>
      </c>
      <c r="D10" s="88">
        <v>5</v>
      </c>
      <c r="E10" s="89">
        <f t="shared" si="0"/>
        <v>0</v>
      </c>
      <c r="H10" s="66"/>
    </row>
    <row r="11" spans="2:9" x14ac:dyDescent="0.25">
      <c r="C11" s="91">
        <v>6.25E-2</v>
      </c>
      <c r="D11" s="88">
        <v>2</v>
      </c>
      <c r="E11" s="89">
        <f t="shared" si="0"/>
        <v>1.5874999999999999</v>
      </c>
      <c r="H11" s="66"/>
    </row>
    <row r="12" spans="2:9" x14ac:dyDescent="0.25">
      <c r="C12" s="91">
        <v>0.125</v>
      </c>
      <c r="D12" s="88">
        <v>-2</v>
      </c>
      <c r="E12" s="89">
        <f t="shared" si="0"/>
        <v>3.1749999999999998</v>
      </c>
      <c r="H12" s="66"/>
    </row>
    <row r="13" spans="2:9" x14ac:dyDescent="0.25">
      <c r="C13" s="91">
        <v>0.1875</v>
      </c>
      <c r="D13" s="88">
        <v>-5</v>
      </c>
      <c r="E13" s="89">
        <f t="shared" si="0"/>
        <v>4.7624999999999993</v>
      </c>
      <c r="H13" s="66"/>
    </row>
    <row r="14" spans="2:9" x14ac:dyDescent="0.25">
      <c r="C14" s="91">
        <v>0.25</v>
      </c>
      <c r="D14" s="88">
        <v>-10</v>
      </c>
      <c r="E14" s="89">
        <f t="shared" si="0"/>
        <v>6.35</v>
      </c>
      <c r="H14" s="66"/>
    </row>
    <row r="15" spans="2:9" x14ac:dyDescent="0.25">
      <c r="C15" s="92">
        <v>0.375</v>
      </c>
      <c r="D15" s="88">
        <v>-14</v>
      </c>
      <c r="E15" s="89">
        <f t="shared" si="0"/>
        <v>9.5249999999999986</v>
      </c>
      <c r="H15" s="66"/>
    </row>
    <row r="16" spans="2:9" x14ac:dyDescent="0.25">
      <c r="C16" s="92">
        <v>0.5</v>
      </c>
      <c r="D16" s="88">
        <v>-18</v>
      </c>
      <c r="E16" s="89">
        <f t="shared" si="0"/>
        <v>12.7</v>
      </c>
      <c r="H16" s="66"/>
    </row>
    <row r="17" spans="2:8" x14ac:dyDescent="0.25">
      <c r="C17" s="93">
        <v>0.625</v>
      </c>
      <c r="D17" s="94">
        <v>-22</v>
      </c>
      <c r="E17" s="95">
        <f t="shared" si="0"/>
        <v>15.875</v>
      </c>
      <c r="H17" s="66"/>
    </row>
    <row r="19" spans="2:8" x14ac:dyDescent="0.25">
      <c r="B19" s="75" t="s">
        <v>96</v>
      </c>
      <c r="C19" s="76" t="s">
        <v>710</v>
      </c>
      <c r="D19" s="77" t="s">
        <v>105</v>
      </c>
    </row>
    <row r="20" spans="2:8" x14ac:dyDescent="0.25">
      <c r="C20" s="96" t="s">
        <v>97</v>
      </c>
      <c r="D20" s="97">
        <v>0.97</v>
      </c>
    </row>
    <row r="21" spans="2:8" x14ac:dyDescent="0.25">
      <c r="C21" s="68" t="s">
        <v>36</v>
      </c>
      <c r="D21" s="63">
        <v>1</v>
      </c>
    </row>
    <row r="22" spans="2:8" x14ac:dyDescent="0.25">
      <c r="C22" s="68" t="s">
        <v>95</v>
      </c>
      <c r="D22" s="63">
        <v>1.03</v>
      </c>
    </row>
    <row r="23" spans="2:8" x14ac:dyDescent="0.25">
      <c r="C23" s="71"/>
      <c r="D23" s="63"/>
    </row>
    <row r="24" spans="2:8" x14ac:dyDescent="0.25">
      <c r="C24" s="98"/>
      <c r="D24" s="64"/>
    </row>
    <row r="25" spans="2:8" x14ac:dyDescent="0.25">
      <c r="C25" s="5"/>
    </row>
    <row r="26" spans="2:8" x14ac:dyDescent="0.25">
      <c r="B26" s="75" t="s">
        <v>704</v>
      </c>
      <c r="C26" s="76" t="s">
        <v>104</v>
      </c>
      <c r="D26" s="77" t="s">
        <v>105</v>
      </c>
    </row>
    <row r="27" spans="2:8" x14ac:dyDescent="0.25">
      <c r="C27" s="67">
        <v>14</v>
      </c>
      <c r="D27" s="60">
        <f>(C27-21)/2*2</f>
        <v>-7</v>
      </c>
    </row>
    <row r="28" spans="2:8" x14ac:dyDescent="0.25">
      <c r="C28" s="71">
        <v>15</v>
      </c>
      <c r="D28" s="60">
        <v>-6</v>
      </c>
    </row>
    <row r="29" spans="2:8" x14ac:dyDescent="0.25">
      <c r="C29" s="71">
        <v>16</v>
      </c>
      <c r="D29" s="60">
        <v>-5</v>
      </c>
    </row>
    <row r="30" spans="2:8" x14ac:dyDescent="0.25">
      <c r="C30" s="67">
        <v>17</v>
      </c>
      <c r="D30" s="60">
        <f t="shared" ref="D30:D39" si="1">(C30-21)/2*2</f>
        <v>-4</v>
      </c>
    </row>
    <row r="31" spans="2:8" x14ac:dyDescent="0.25">
      <c r="C31" s="67">
        <v>18</v>
      </c>
      <c r="D31" s="60">
        <f t="shared" si="1"/>
        <v>-3</v>
      </c>
    </row>
    <row r="32" spans="2:8" x14ac:dyDescent="0.25">
      <c r="C32" s="67">
        <v>19</v>
      </c>
      <c r="D32" s="60">
        <f t="shared" si="1"/>
        <v>-2</v>
      </c>
    </row>
    <row r="33" spans="2:5" x14ac:dyDescent="0.25">
      <c r="C33" s="67">
        <v>20</v>
      </c>
      <c r="D33" s="60">
        <f t="shared" si="1"/>
        <v>-1</v>
      </c>
    </row>
    <row r="34" spans="2:5" ht="12.75" customHeight="1" x14ac:dyDescent="0.25">
      <c r="C34" s="67">
        <v>21</v>
      </c>
      <c r="D34" s="60">
        <f t="shared" si="1"/>
        <v>0</v>
      </c>
    </row>
    <row r="35" spans="2:5" x14ac:dyDescent="0.25">
      <c r="C35" s="67">
        <v>22</v>
      </c>
      <c r="D35" s="60">
        <f t="shared" si="1"/>
        <v>1</v>
      </c>
    </row>
    <row r="36" spans="2:5" x14ac:dyDescent="0.25">
      <c r="C36" s="67">
        <v>23</v>
      </c>
      <c r="D36" s="60">
        <f t="shared" si="1"/>
        <v>2</v>
      </c>
    </row>
    <row r="37" spans="2:5" x14ac:dyDescent="0.25">
      <c r="C37" s="69">
        <v>24</v>
      </c>
      <c r="D37" s="60">
        <f t="shared" si="1"/>
        <v>3</v>
      </c>
    </row>
    <row r="38" spans="2:5" x14ac:dyDescent="0.25">
      <c r="C38" s="69">
        <v>25</v>
      </c>
      <c r="D38" s="60">
        <f t="shared" si="1"/>
        <v>4</v>
      </c>
    </row>
    <row r="39" spans="2:5" x14ac:dyDescent="0.25">
      <c r="C39" s="70">
        <v>26</v>
      </c>
      <c r="D39" s="62">
        <f t="shared" si="1"/>
        <v>5</v>
      </c>
    </row>
    <row r="41" spans="2:5" ht="15" customHeight="1" x14ac:dyDescent="0.25">
      <c r="B41" s="75" t="s">
        <v>705</v>
      </c>
      <c r="C41" s="76" t="s">
        <v>20</v>
      </c>
      <c r="D41" s="77" t="s">
        <v>709</v>
      </c>
      <c r="E41" s="5" t="s">
        <v>712</v>
      </c>
    </row>
    <row r="42" spans="2:5" x14ac:dyDescent="0.25">
      <c r="C42" s="79" t="s">
        <v>106</v>
      </c>
      <c r="D42" s="99">
        <v>1</v>
      </c>
      <c r="E42" s="100">
        <v>2.1000000000000001E-2</v>
      </c>
    </row>
    <row r="43" spans="2:5" x14ac:dyDescent="0.25">
      <c r="C43" s="101" t="s">
        <v>107</v>
      </c>
      <c r="D43" s="102">
        <v>1.05</v>
      </c>
      <c r="E43" s="100">
        <v>6.3E-3</v>
      </c>
    </row>
    <row r="44" spans="2:5" x14ac:dyDescent="0.25">
      <c r="C44" s="82" t="s">
        <v>108</v>
      </c>
      <c r="D44" s="103">
        <v>1.1000000000000001</v>
      </c>
      <c r="E44" s="100">
        <v>7.9000000000000008E-3</v>
      </c>
    </row>
    <row r="46" spans="2:5" x14ac:dyDescent="0.25">
      <c r="B46" s="75" t="s">
        <v>99</v>
      </c>
      <c r="C46" s="76" t="s">
        <v>99</v>
      </c>
      <c r="D46" s="83" t="s">
        <v>709</v>
      </c>
      <c r="E46" s="77" t="s">
        <v>708</v>
      </c>
    </row>
    <row r="47" spans="2:5" x14ac:dyDescent="0.25">
      <c r="C47" s="96" t="s">
        <v>109</v>
      </c>
      <c r="D47" s="104">
        <v>-0.25</v>
      </c>
      <c r="E47" s="97">
        <v>0</v>
      </c>
    </row>
    <row r="48" spans="2:5" x14ac:dyDescent="0.25">
      <c r="C48" s="68" t="s">
        <v>110</v>
      </c>
      <c r="D48" s="105">
        <v>0</v>
      </c>
      <c r="E48" s="63">
        <v>15</v>
      </c>
    </row>
    <row r="49" spans="2:5" x14ac:dyDescent="0.25">
      <c r="C49" s="68" t="s">
        <v>111</v>
      </c>
      <c r="D49" s="105">
        <v>0.25</v>
      </c>
      <c r="E49" s="63">
        <v>50</v>
      </c>
    </row>
    <row r="50" spans="2:5" x14ac:dyDescent="0.25">
      <c r="C50" s="68" t="s">
        <v>114</v>
      </c>
      <c r="D50" s="105">
        <v>0.5</v>
      </c>
      <c r="E50" s="63">
        <v>75</v>
      </c>
    </row>
    <row r="51" spans="2:5" x14ac:dyDescent="0.25">
      <c r="C51" s="68" t="s">
        <v>115</v>
      </c>
      <c r="D51" s="105">
        <v>1</v>
      </c>
      <c r="E51" s="63">
        <v>100</v>
      </c>
    </row>
    <row r="52" spans="2:5" x14ac:dyDescent="0.25">
      <c r="C52" s="68" t="s">
        <v>116</v>
      </c>
      <c r="D52" s="105">
        <v>1.25</v>
      </c>
      <c r="E52" s="63">
        <v>150</v>
      </c>
    </row>
    <row r="53" spans="2:5" x14ac:dyDescent="0.25">
      <c r="C53" s="68" t="s">
        <v>117</v>
      </c>
      <c r="D53" s="105">
        <v>1.25</v>
      </c>
      <c r="E53" s="63">
        <v>15</v>
      </c>
    </row>
    <row r="54" spans="2:5" x14ac:dyDescent="0.25">
      <c r="C54" s="68" t="s">
        <v>118</v>
      </c>
      <c r="D54" s="105">
        <v>1.25</v>
      </c>
      <c r="E54" s="63">
        <v>75</v>
      </c>
    </row>
    <row r="55" spans="2:5" x14ac:dyDescent="0.25">
      <c r="C55" s="106" t="s">
        <v>119</v>
      </c>
      <c r="D55" s="107">
        <v>1.25</v>
      </c>
      <c r="E55" s="64">
        <v>100</v>
      </c>
    </row>
    <row r="57" spans="2:5" x14ac:dyDescent="0.25">
      <c r="B57" s="75" t="s">
        <v>706</v>
      </c>
      <c r="C57" s="112" t="s">
        <v>747</v>
      </c>
    </row>
    <row r="58" spans="2:5" ht="15" x14ac:dyDescent="0.25">
      <c r="B58" s="108" t="s">
        <v>707</v>
      </c>
      <c r="C58" s="74" t="str">
        <f>IF(OR('Fiche Matériel Archer'!D30=Param!D33,'Fiche Matériel Archer'!D30=Param!D36),C42,IF(OR('Fiche Matériel Archer'!D30=Param!D35,'Fiche Matériel Archer'!I30&lt;14),C44,C43))</f>
        <v>FF</v>
      </c>
    </row>
    <row r="59" spans="2:5" ht="15" x14ac:dyDescent="0.25">
      <c r="C59" s="65">
        <f>((VLOOKUP('Fiche Matériel Archer'!G50,shaft,7,FALSE)*'Fiche Matériel Archer'!F52*'Fiche Matériel Archer'!F52)/2+'Fiche Matériel Archer'!H52*('Fiche Matériel Archer'!F52-VLOOKUP('Fiche Matériel Archer'!G52,insert,2,FALSE)-0.25)^2/2+VLOOKUP('Fiche Matériel Archer'!D52,empenage,2,FALSE)*('Fiche Matériel Archer'!F52-2.5)+'Fiche Matériel Archer'!F52*'Fiche Matériel Archer'!E52)/('Fiche Matériel Archer'!I52+VLOOKUP('Fiche Matériel Archer'!G52,insert,3,FALSE)+(VLOOKUP('Fiche Matériel Archer'!G50,shaft,7,FALSE)*'Fiche Matériel Archer'!F52)+('Fiche Matériel Archer'!F52-VLOOKUP('Fiche Matériel Archer'!G52,insert,2,FALSE)-0.25)*'Fiche Matériel Archer'!H52+VLOOKUP('Fiche Matériel Archer'!D52,empenage,2,FALSE)+'Fiche Matériel Archer'!E52+10)</f>
        <v>10.489701897018969</v>
      </c>
    </row>
    <row r="60" spans="2:5" x14ac:dyDescent="0.2">
      <c r="B60" s="108" t="s">
        <v>791</v>
      </c>
      <c r="C60" s="233">
        <v>0.5</v>
      </c>
    </row>
    <row r="62" spans="2:5" x14ac:dyDescent="0.25">
      <c r="B62" s="61" t="s">
        <v>785</v>
      </c>
      <c r="C62" s="76" t="s">
        <v>112</v>
      </c>
      <c r="D62" s="77" t="s">
        <v>113</v>
      </c>
    </row>
    <row r="63" spans="2:5" x14ac:dyDescent="0.25">
      <c r="C63" s="5">
        <v>1</v>
      </c>
      <c r="D63" s="61">
        <v>6.4798910000000001E-2</v>
      </c>
    </row>
    <row r="64" spans="2:5" x14ac:dyDescent="0.25">
      <c r="C64" s="5">
        <v>5</v>
      </c>
      <c r="D64" s="61">
        <f>D63*C64</f>
        <v>0.32399454999999999</v>
      </c>
    </row>
    <row r="65" spans="2:6" ht="13.5" thickBot="1" x14ac:dyDescent="0.3"/>
    <row r="66" spans="2:6" ht="75.75" thickBot="1" x14ac:dyDescent="0.3">
      <c r="B66" s="75" t="s">
        <v>706</v>
      </c>
      <c r="C66" s="112" t="s">
        <v>748</v>
      </c>
      <c r="D66" s="117" t="s">
        <v>741</v>
      </c>
      <c r="E66" s="118" t="s">
        <v>742</v>
      </c>
      <c r="F66" s="119" t="s">
        <v>105</v>
      </c>
    </row>
    <row r="67" spans="2:6" ht="15.75" thickBot="1" x14ac:dyDescent="0.3">
      <c r="C67" s="120">
        <f>((VLOOKUP(IF(DSC!B8=Fournisseurs!$B$29,Autre_Tube_Fût,DSC!C8),shaft,7,FALSE)*DSC!E8*DSC!E8)/2+DSC!D8*(DSC!E8-VLOOKUP(DSC!F8,insert,2,FALSE)-0.25)^2/2+VLOOKUP(DSC!I8,empenage,2,FALSE)*(DSC!E8-2.5)+DSC!E8*DSC!H8)/(DSC!G8+VLOOKUP(DSC!F8,insert,3,FALSE)+(VLOOKUP(IF(DSC!B8=Fournisseurs!$B$29,Autre_Tube_Fût,DSC!C8),shaft,7,FALSE)*DSC!E8)+(DSC!E8-VLOOKUP(DSC!F8,insert,2,FALSE)-0.25)*DSC!D8+VLOOKUP(DSC!I8,empenage,2,FALSE)+DSC!H8+10)</f>
        <v>10.784496996098516</v>
      </c>
      <c r="D67" s="121">
        <f>VLOOKUP(IF(DSC!B8=Fournisseurs!$B$29,Autre_Tube_Fût,DSC!C8),shaft,6,FALSE)</f>
        <v>20</v>
      </c>
      <c r="E67" s="122">
        <f t="shared" ref="E67" si="2">VLOOKUP(D67,diam,2,FALSE)</f>
        <v>-1</v>
      </c>
      <c r="F67" s="123"/>
    </row>
    <row r="68" spans="2:6" ht="15.75" thickBot="1" x14ac:dyDescent="0.3">
      <c r="C68" s="120">
        <f>((VLOOKUP(IF(DSC!B9=Fournisseurs!$B$29,Autre_Tube_Fût,DSC!C9),shaft,7,FALSE)*DSC!E9*DSC!E9)/2+DSC!D9*(DSC!E9-VLOOKUP(DSC!F9,insert,2,FALSE)-0.25)^2/2+VLOOKUP(DSC!I9,empenage,2,FALSE)*(DSC!E9-2.5)+DSC!E9*DSC!H9)/(DSC!G9+VLOOKUP(DSC!F9,insert,3,FALSE)+(VLOOKUP(IF(DSC!B9=Fournisseurs!$B$29,Autre_Tube_Fût,DSC!C9),shaft,7,FALSE)*DSC!E9)+(DSC!E9-VLOOKUP(DSC!F9,insert,2,FALSE)-0.25)*DSC!D9+VLOOKUP(DSC!I9,empenage,2,FALSE)+DSC!H9+10)</f>
        <v>12.177363205031021</v>
      </c>
      <c r="D68" s="121">
        <f>VLOOKUP(IF(DSC!B9=Fournisseurs!$B$29,Autre_Tube_Fût,DSC!C9),shaft,6,FALSE)</f>
        <v>19</v>
      </c>
      <c r="E68" s="122">
        <f t="shared" ref="E68:E76" si="3">VLOOKUP(D68,diam,2,FALSE)</f>
        <v>-2</v>
      </c>
      <c r="F68" s="123"/>
    </row>
    <row r="69" spans="2:6" ht="15.75" thickBot="1" x14ac:dyDescent="0.3">
      <c r="C69" s="120">
        <f>((VLOOKUP(IF(DSC!B10=Fournisseurs!$B$29,Autre_Tube_Fût,DSC!C10),shaft,7,FALSE)*DSC!E10*DSC!E10)/2+DSC!D10*(DSC!E10-VLOOKUP(DSC!F10,insert,2,FALSE)-0.25)^2/2+VLOOKUP(DSC!I10,empenage,2,FALSE)*(DSC!E10-2.5)+DSC!E10*DSC!H10)/(DSC!G10+VLOOKUP(DSC!F10,insert,3,FALSE)+(VLOOKUP(IF(DSC!B10=Fournisseurs!$B$29,Autre_Tube_Fût,DSC!C10),shaft,7,FALSE)*DSC!E10)+(DSC!E10-VLOOKUP(DSC!F10,insert,2,FALSE)-0.25)*DSC!D10+VLOOKUP(DSC!I10,empenage,2,FALSE)+DSC!H10+10)</f>
        <v>10.53912186884323</v>
      </c>
      <c r="D69" s="121">
        <f>VLOOKUP(IF(DSC!B10=Fournisseurs!$B$29,Autre_Tube_Fût,DSC!C10),shaft,6,FALSE)</f>
        <v>18</v>
      </c>
      <c r="E69" s="122">
        <f t="shared" si="3"/>
        <v>-3</v>
      </c>
      <c r="F69" s="123"/>
    </row>
    <row r="70" spans="2:6" ht="15.75" thickBot="1" x14ac:dyDescent="0.3">
      <c r="C70" s="120">
        <f>((VLOOKUP(IF(DSC!B11=Fournisseurs!$B$29,Autre_Tube_Fût,DSC!C11),shaft,7,FALSE)*DSC!E11*DSC!E11)/2+DSC!D11*(DSC!E11-VLOOKUP(DSC!F11,insert,2,FALSE)-0.25)^2/2+VLOOKUP(DSC!I11,empenage,2,FALSE)*(DSC!E11-2.5)+DSC!E11*DSC!H11)/(DSC!G11+VLOOKUP(DSC!F11,insert,3,FALSE)+(VLOOKUP(IF(DSC!B11=Fournisseurs!$B$29,Autre_Tube_Fût,DSC!C11),shaft,7,FALSE)*DSC!E11)+(DSC!E11-VLOOKUP(DSC!F11,insert,2,FALSE)-0.25)*DSC!D11+VLOOKUP(DSC!I11,empenage,2,FALSE)+DSC!H11+10)</f>
        <v>9.8796677906831523</v>
      </c>
      <c r="D70" s="121">
        <f>VLOOKUP(IF(DSC!B11=Fournisseurs!$B$29,Autre_Tube_Fût,DSC!C11),shaft,6,FALSE)</f>
        <v>19</v>
      </c>
      <c r="E70" s="122">
        <f t="shared" si="3"/>
        <v>-2</v>
      </c>
      <c r="F70" s="123"/>
    </row>
    <row r="71" spans="2:6" ht="15.75" thickBot="1" x14ac:dyDescent="0.3">
      <c r="C71" s="120">
        <f>((VLOOKUP(IF(DSC!B12=Fournisseurs!$B$29,Autre_Tube_Fût,DSC!C12),shaft,7,FALSE)*DSC!E12*DSC!E12)/2+DSC!D12*(DSC!E12-VLOOKUP(DSC!F12,insert,2,FALSE)-0.25)^2/2+VLOOKUP(DSC!I12,empenage,2,FALSE)*(DSC!E12-2.5)+DSC!E12*DSC!H12)/(DSC!G12+VLOOKUP(DSC!F12,insert,3,FALSE)+(VLOOKUP(IF(DSC!B12=Fournisseurs!$B$29,Autre_Tube_Fût,DSC!C12),shaft,7,FALSE)*DSC!E12)+(DSC!E12-VLOOKUP(DSC!F12,insert,2,FALSE)-0.25)*DSC!D12+VLOOKUP(DSC!I12,empenage,2,FALSE)+DSC!H12+10)</f>
        <v>10.489701897018969</v>
      </c>
      <c r="D71" s="121">
        <f>VLOOKUP(IF(DSC!B12=Fournisseurs!$B$29,Autre_Tube_Fût,DSC!C12),shaft,6,FALSE)</f>
        <v>19</v>
      </c>
      <c r="E71" s="122">
        <f t="shared" si="3"/>
        <v>-2</v>
      </c>
      <c r="F71" s="123"/>
    </row>
    <row r="72" spans="2:6" ht="15.75" thickBot="1" x14ac:dyDescent="0.3">
      <c r="C72" s="120">
        <f>((VLOOKUP(IF(DSC!B13=Fournisseurs!$B$29,Autre_Tube_Fût,DSC!C13),shaft,7,FALSE)*DSC!E13*DSC!E13)/2+DSC!D13*(DSC!E13-VLOOKUP(DSC!F13,insert,2,FALSE)-0.25)^2/2+VLOOKUP(DSC!I13,empenage,2,FALSE)*(DSC!E13-2.5)+DSC!E13*DSC!H13)/(DSC!G13+VLOOKUP(DSC!F13,insert,3,FALSE)+(VLOOKUP(IF(DSC!B13=Fournisseurs!$B$29,Autre_Tube_Fût,DSC!C13),shaft,7,FALSE)*DSC!E13)+(DSC!E13-VLOOKUP(DSC!F13,insert,2,FALSE)-0.25)*DSC!D13+VLOOKUP(DSC!I13,empenage,2,FALSE)+DSC!H13+10)</f>
        <v>10.724040783471962</v>
      </c>
      <c r="D72" s="121">
        <f>VLOOKUP(IF(DSC!B13=Fournisseurs!$B$29,Autre_Tube_Fût,DSC!C13),shaft,6,FALSE)</f>
        <v>17</v>
      </c>
      <c r="E72" s="122">
        <f t="shared" si="3"/>
        <v>-4</v>
      </c>
      <c r="F72" s="123"/>
    </row>
    <row r="73" spans="2:6" ht="15.75" thickBot="1" x14ac:dyDescent="0.3">
      <c r="C73" s="120">
        <f>((VLOOKUP(IF(DSC!B14=Fournisseurs!$B$29,Autre_Tube_Fût,DSC!C14),shaft,7,FALSE)*DSC!E14*DSC!E14)/2+DSC!D14*(DSC!E14-VLOOKUP(DSC!F14,insert,2,FALSE)-0.25)^2/2+VLOOKUP(DSC!I14,empenage,2,FALSE)*(DSC!E14-2.5)+DSC!E14*DSC!H14)/(DSC!G14+VLOOKUP(DSC!F14,insert,3,FALSE)+(VLOOKUP(IF(DSC!B14=Fournisseurs!$B$29,Autre_Tube_Fût,DSC!C14),shaft,7,FALSE)*DSC!E14)+(DSC!E14-VLOOKUP(DSC!F14,insert,2,FALSE)-0.25)*DSC!D14+VLOOKUP(DSC!I14,empenage,2,FALSE)+DSC!H14+10)</f>
        <v>9.9537634408602145</v>
      </c>
      <c r="D73" s="121">
        <f>VLOOKUP(IF(DSC!B14=Fournisseurs!$B$29,Autre_Tube_Fût,DSC!C14),shaft,6,FALSE)</f>
        <v>20</v>
      </c>
      <c r="E73" s="122">
        <f t="shared" si="3"/>
        <v>-1</v>
      </c>
      <c r="F73" s="123"/>
    </row>
    <row r="74" spans="2:6" ht="15.75" thickBot="1" x14ac:dyDescent="0.3">
      <c r="C74" s="120">
        <f>((VLOOKUP(IF(DSC!B15=Fournisseurs!$B$29,Autre_Tube_Fût,DSC!C15),shaft,7,FALSE)*DSC!E15*DSC!E15)/2+DSC!D15*(DSC!E15-VLOOKUP(DSC!F15,insert,2,FALSE)-0.25)^2/2+VLOOKUP(DSC!I15,empenage,2,FALSE)*(DSC!E15-2.5)+DSC!E15*DSC!H15)/(DSC!G15+VLOOKUP(DSC!F15,insert,3,FALSE)+(VLOOKUP(IF(DSC!B15=Fournisseurs!$B$29,Autre_Tube_Fût,DSC!C15),shaft,7,FALSE)*DSC!E15)+(DSC!E15-VLOOKUP(DSC!F15,insert,2,FALSE)-0.25)*DSC!D15+VLOOKUP(DSC!I15,empenage,2,FALSE)+DSC!H15+10)</f>
        <v>10.892463470904895</v>
      </c>
      <c r="D74" s="121">
        <f>VLOOKUP(IF(DSC!B15=Fournisseurs!$B$29,Autre_Tube_Fût,DSC!C15),shaft,6,FALSE)</f>
        <v>19</v>
      </c>
      <c r="E74" s="122">
        <f t="shared" si="3"/>
        <v>-2</v>
      </c>
      <c r="F74" s="123"/>
    </row>
    <row r="75" spans="2:6" ht="15.75" thickBot="1" x14ac:dyDescent="0.3">
      <c r="C75" s="120" t="e">
        <f>((VLOOKUP(IF(DSC!B16=Fournisseurs!$B$29,Autre_Tube_Fût,DSC!C16),shaft,7,FALSE)*DSC!E16*DSC!E16)/2+DSC!D16*(DSC!E16-VLOOKUP(DSC!F16,insert,2,FALSE)-0.25)^2/2+VLOOKUP(DSC!I16,empenage,2,FALSE)*(DSC!E16-2.5)+DSC!E16*DSC!H16)/(DSC!G16+VLOOKUP(DSC!F16,insert,3,FALSE)+(VLOOKUP(IF(DSC!B16=Fournisseurs!$B$29,Autre_Tube_Fût,DSC!C16),shaft,7,FALSE)*DSC!E16)+(DSC!E16-VLOOKUP(DSC!F16,insert,2,FALSE)-0.25)*DSC!D16+VLOOKUP(DSC!I16,empenage,2,FALSE)+DSC!H16+10)</f>
        <v>#N/A</v>
      </c>
      <c r="D75" s="121" t="e">
        <f>VLOOKUP(IF(DSC!B16=Fournisseurs!$B$29,Autre_Tube_Fût,DSC!C16),shaft,6,FALSE)</f>
        <v>#N/A</v>
      </c>
      <c r="E75" s="122" t="e">
        <f t="shared" si="3"/>
        <v>#N/A</v>
      </c>
      <c r="F75" s="123"/>
    </row>
    <row r="76" spans="2:6" ht="15.75" thickBot="1" x14ac:dyDescent="0.3">
      <c r="C76" s="120" t="e">
        <f>((VLOOKUP(IF(DSC!B17=Fournisseurs!$B$29,Autre_Tube_Fût,DSC!C17),shaft,7,FALSE)*DSC!E17*DSC!E17)/2+DSC!D17*(DSC!E17-VLOOKUP(DSC!F17,insert,2,FALSE)-0.25)^2/2+VLOOKUP(DSC!I17,empenage,2,FALSE)*(DSC!E17-2.5)+DSC!E17*DSC!H17)/(DSC!G17+VLOOKUP(DSC!F17,insert,3,FALSE)+(VLOOKUP(IF(DSC!B17=Fournisseurs!$B$29,Autre_Tube_Fût,DSC!C17),shaft,7,FALSE)*DSC!E17)+(DSC!E17-VLOOKUP(DSC!F17,insert,2,FALSE)-0.25)*DSC!D17+VLOOKUP(DSC!I17,empenage,2,FALSE)+DSC!H17+10)</f>
        <v>#N/A</v>
      </c>
      <c r="D76" s="121" t="e">
        <f>VLOOKUP(IF(DSC!B17=Fournisseurs!$B$29,Autre_Tube_Fût,DSC!C17),shaft,6,FALSE)</f>
        <v>#N/A</v>
      </c>
      <c r="E76" s="122" t="e">
        <f t="shared" si="3"/>
        <v>#N/A</v>
      </c>
      <c r="F76" s="123"/>
    </row>
    <row r="343" spans="7:8" x14ac:dyDescent="0.25">
      <c r="H343" s="109"/>
    </row>
    <row r="344" spans="7:8" x14ac:dyDescent="0.25">
      <c r="H344" s="109"/>
    </row>
    <row r="345" spans="7:8" x14ac:dyDescent="0.25">
      <c r="H345" s="109"/>
    </row>
    <row r="346" spans="7:8" x14ac:dyDescent="0.25">
      <c r="H346" s="109"/>
    </row>
    <row r="347" spans="7:8" x14ac:dyDescent="0.25">
      <c r="H347" s="109"/>
    </row>
    <row r="348" spans="7:8" x14ac:dyDescent="0.25">
      <c r="H348" s="109"/>
    </row>
    <row r="349" spans="7:8" x14ac:dyDescent="0.25">
      <c r="G349" s="109"/>
      <c r="H349" s="110"/>
    </row>
    <row r="350" spans="7:8" x14ac:dyDescent="0.25">
      <c r="G350" s="109"/>
      <c r="H350" s="110"/>
    </row>
    <row r="351" spans="7:8" x14ac:dyDescent="0.25">
      <c r="G351" s="109"/>
      <c r="H351" s="110"/>
    </row>
    <row r="352" spans="7:8" x14ac:dyDescent="0.25">
      <c r="G352" s="109"/>
      <c r="H352" s="110"/>
    </row>
    <row r="353" spans="7:8" x14ac:dyDescent="0.25">
      <c r="G353" s="109"/>
      <c r="H353" s="110"/>
    </row>
    <row r="354" spans="7:8" x14ac:dyDescent="0.25">
      <c r="G354" s="109"/>
      <c r="H354" s="110"/>
    </row>
    <row r="355" spans="7:8" x14ac:dyDescent="0.25">
      <c r="G355" s="109"/>
      <c r="H355" s="110"/>
    </row>
    <row r="356" spans="7:8" x14ac:dyDescent="0.25">
      <c r="G356" s="109"/>
      <c r="H356" s="110"/>
    </row>
    <row r="357" spans="7:8" x14ac:dyDescent="0.25">
      <c r="G357" s="109"/>
      <c r="H357" s="110"/>
    </row>
    <row r="358" spans="7:8" x14ac:dyDescent="0.25">
      <c r="G358" s="109"/>
      <c r="H358" s="110"/>
    </row>
    <row r="359" spans="7:8" x14ac:dyDescent="0.25">
      <c r="G359" s="109"/>
      <c r="H359" s="110"/>
    </row>
    <row r="360" spans="7:8" x14ac:dyDescent="0.25">
      <c r="G360" s="109"/>
      <c r="H360" s="110"/>
    </row>
    <row r="361" spans="7:8" x14ac:dyDescent="0.25">
      <c r="G361" s="109"/>
      <c r="H361" s="110"/>
    </row>
    <row r="362" spans="7:8" x14ac:dyDescent="0.25">
      <c r="G362" s="109"/>
      <c r="H362" s="110"/>
    </row>
    <row r="363" spans="7:8" x14ac:dyDescent="0.25">
      <c r="G363" s="109"/>
      <c r="H363" s="110"/>
    </row>
    <row r="364" spans="7:8" x14ac:dyDescent="0.25">
      <c r="G364" s="109"/>
      <c r="H364" s="110"/>
    </row>
    <row r="365" spans="7:8" x14ac:dyDescent="0.25">
      <c r="G365" s="109"/>
      <c r="H365" s="110"/>
    </row>
    <row r="366" spans="7:8" x14ac:dyDescent="0.25">
      <c r="G366" s="109"/>
      <c r="H366" s="110"/>
    </row>
    <row r="367" spans="7:8" x14ac:dyDescent="0.25">
      <c r="G367" s="109"/>
      <c r="H367" s="110"/>
    </row>
    <row r="368" spans="7:8" x14ac:dyDescent="0.25">
      <c r="G368" s="109"/>
      <c r="H368" s="110"/>
    </row>
    <row r="369" spans="7:8" x14ac:dyDescent="0.25">
      <c r="G369" s="109"/>
      <c r="H369" s="110"/>
    </row>
    <row r="370" spans="7:8" x14ac:dyDescent="0.25">
      <c r="G370" s="109"/>
      <c r="H370" s="110"/>
    </row>
    <row r="371" spans="7:8" x14ac:dyDescent="0.25">
      <c r="G371" s="109"/>
      <c r="H371" s="110"/>
    </row>
    <row r="372" spans="7:8" x14ac:dyDescent="0.25">
      <c r="G372" s="109"/>
      <c r="H372" s="110"/>
    </row>
    <row r="373" spans="7:8" x14ac:dyDescent="0.25">
      <c r="G373" s="109"/>
      <c r="H373" s="110"/>
    </row>
    <row r="374" spans="7:8" x14ac:dyDescent="0.25">
      <c r="G374" s="109"/>
      <c r="H374" s="110"/>
    </row>
    <row r="375" spans="7:8" x14ac:dyDescent="0.25">
      <c r="G375" s="109"/>
      <c r="H375" s="110"/>
    </row>
    <row r="376" spans="7:8" x14ac:dyDescent="0.25">
      <c r="G376" s="109"/>
      <c r="H376" s="110"/>
    </row>
    <row r="377" spans="7:8" x14ac:dyDescent="0.25">
      <c r="G377" s="109"/>
      <c r="H377" s="110"/>
    </row>
    <row r="378" spans="7:8" x14ac:dyDescent="0.25">
      <c r="G378" s="109"/>
      <c r="H378" s="110"/>
    </row>
    <row r="379" spans="7:8" x14ac:dyDescent="0.25">
      <c r="G379" s="109"/>
      <c r="H379" s="110"/>
    </row>
    <row r="380" spans="7:8" x14ac:dyDescent="0.25">
      <c r="G380" s="109"/>
      <c r="H380" s="110"/>
    </row>
    <row r="381" spans="7:8" x14ac:dyDescent="0.25">
      <c r="G381" s="109"/>
      <c r="H381" s="110"/>
    </row>
    <row r="382" spans="7:8" x14ac:dyDescent="0.25">
      <c r="G382" s="109"/>
      <c r="H382" s="110"/>
    </row>
    <row r="383" spans="7:8" x14ac:dyDescent="0.25">
      <c r="G383" s="109"/>
      <c r="H383" s="110"/>
    </row>
    <row r="384" spans="7:8" x14ac:dyDescent="0.25">
      <c r="G384" s="109"/>
      <c r="H384" s="110"/>
    </row>
    <row r="385" spans="2:13" x14ac:dyDescent="0.25">
      <c r="G385" s="109"/>
      <c r="H385" s="110"/>
    </row>
    <row r="386" spans="2:13" x14ac:dyDescent="0.25">
      <c r="G386" s="109"/>
      <c r="H386" s="110"/>
    </row>
    <row r="387" spans="2:13" x14ac:dyDescent="0.25">
      <c r="G387" s="109"/>
      <c r="H387" s="110"/>
    </row>
    <row r="388" spans="2:13" x14ac:dyDescent="0.25">
      <c r="G388" s="109"/>
      <c r="H388" s="110"/>
    </row>
    <row r="389" spans="2:13" x14ac:dyDescent="0.25">
      <c r="G389" s="109"/>
      <c r="H389" s="110"/>
    </row>
    <row r="390" spans="2:13" x14ac:dyDescent="0.25">
      <c r="G390" s="109"/>
      <c r="H390" s="110"/>
    </row>
    <row r="391" spans="2:13" x14ac:dyDescent="0.25">
      <c r="G391" s="109"/>
      <c r="H391" s="110"/>
    </row>
    <row r="392" spans="2:13" x14ac:dyDescent="0.25">
      <c r="G392" s="109"/>
      <c r="H392" s="110"/>
    </row>
    <row r="393" spans="2:13" x14ac:dyDescent="0.25">
      <c r="G393" s="109"/>
      <c r="H393" s="110"/>
    </row>
    <row r="394" spans="2:13" x14ac:dyDescent="0.25">
      <c r="G394" s="109"/>
      <c r="H394" s="110"/>
    </row>
    <row r="395" spans="2:13" x14ac:dyDescent="0.25">
      <c r="G395" s="109"/>
      <c r="H395" s="110"/>
    </row>
    <row r="396" spans="2:13" x14ac:dyDescent="0.25">
      <c r="G396" s="109"/>
      <c r="H396" s="110"/>
    </row>
    <row r="397" spans="2:13" x14ac:dyDescent="0.25">
      <c r="G397" s="109"/>
      <c r="H397" s="110"/>
    </row>
    <row r="398" spans="2:13" x14ac:dyDescent="0.25">
      <c r="G398" s="109"/>
      <c r="H398" s="110"/>
    </row>
    <row r="399" spans="2:13" x14ac:dyDescent="0.25">
      <c r="B399" s="61" t="s">
        <v>665</v>
      </c>
      <c r="C399" s="61" t="s">
        <v>682</v>
      </c>
      <c r="D399" s="61">
        <v>0.25</v>
      </c>
      <c r="G399" s="61">
        <v>0.245</v>
      </c>
      <c r="H399" s="61">
        <v>0.28499999999999998</v>
      </c>
      <c r="M399" s="111">
        <f>H399*25.4</f>
        <v>7.238999999999999</v>
      </c>
    </row>
    <row r="400" spans="2:13" x14ac:dyDescent="0.25">
      <c r="B400" s="61" t="s">
        <v>665</v>
      </c>
      <c r="C400" s="61" t="s">
        <v>683</v>
      </c>
      <c r="D400" s="61">
        <v>0.3</v>
      </c>
      <c r="G400" s="61">
        <v>0.245</v>
      </c>
      <c r="H400" s="61">
        <v>0.28499999999999998</v>
      </c>
      <c r="M400" s="111">
        <f t="shared" ref="M400:M427" si="4">H400*25.4</f>
        <v>7.238999999999999</v>
      </c>
    </row>
    <row r="401" spans="2:13" x14ac:dyDescent="0.25">
      <c r="B401" s="61" t="s">
        <v>665</v>
      </c>
      <c r="C401" s="61" t="s">
        <v>684</v>
      </c>
      <c r="D401" s="61">
        <v>0.35</v>
      </c>
      <c r="G401" s="61">
        <v>0.245</v>
      </c>
      <c r="H401" s="61">
        <v>0.29299999999999998</v>
      </c>
      <c r="M401" s="111">
        <f t="shared" si="4"/>
        <v>7.4421999999999988</v>
      </c>
    </row>
    <row r="402" spans="2:13" x14ac:dyDescent="0.25">
      <c r="B402" s="61" t="s">
        <v>665</v>
      </c>
      <c r="C402" s="61" t="s">
        <v>685</v>
      </c>
      <c r="D402" s="61">
        <v>0.4</v>
      </c>
      <c r="G402" s="61">
        <v>0.245</v>
      </c>
      <c r="H402" s="61">
        <v>0.29499999999999998</v>
      </c>
      <c r="M402" s="111">
        <f t="shared" si="4"/>
        <v>7.4929999999999994</v>
      </c>
    </row>
    <row r="403" spans="2:13" x14ac:dyDescent="0.25">
      <c r="B403" s="61" t="s">
        <v>665</v>
      </c>
      <c r="C403" s="61" t="s">
        <v>686</v>
      </c>
      <c r="D403" s="61">
        <v>0.5</v>
      </c>
      <c r="G403" s="61">
        <v>0.245</v>
      </c>
      <c r="H403" s="61">
        <v>0.29899999999999999</v>
      </c>
      <c r="M403" s="111">
        <f t="shared" si="4"/>
        <v>7.5945999999999989</v>
      </c>
    </row>
    <row r="404" spans="2:13" x14ac:dyDescent="0.25">
      <c r="B404" s="61" t="s">
        <v>665</v>
      </c>
      <c r="C404" s="61" t="s">
        <v>687</v>
      </c>
      <c r="D404" s="61">
        <v>0.55000000000000004</v>
      </c>
      <c r="G404" s="61">
        <v>0.245</v>
      </c>
      <c r="H404" s="61">
        <v>0.30299999999999999</v>
      </c>
      <c r="M404" s="111">
        <f t="shared" si="4"/>
        <v>7.6961999999999993</v>
      </c>
    </row>
    <row r="405" spans="2:13" x14ac:dyDescent="0.25">
      <c r="B405" s="61" t="s">
        <v>665</v>
      </c>
      <c r="C405" s="61" t="s">
        <v>680</v>
      </c>
      <c r="D405" s="61">
        <v>0.27500000000000002</v>
      </c>
      <c r="G405" s="61">
        <v>0.27</v>
      </c>
      <c r="H405" s="61">
        <v>0.34300000000000003</v>
      </c>
      <c r="M405" s="111">
        <f t="shared" si="4"/>
        <v>8.7122000000000011</v>
      </c>
    </row>
    <row r="406" spans="2:13" x14ac:dyDescent="0.25">
      <c r="B406" s="61" t="s">
        <v>665</v>
      </c>
      <c r="C406" s="61" t="s">
        <v>681</v>
      </c>
      <c r="D406" s="61">
        <v>0.375</v>
      </c>
      <c r="G406" s="61">
        <v>0.27</v>
      </c>
      <c r="H406" s="61">
        <v>0.35</v>
      </c>
      <c r="M406" s="111">
        <f t="shared" si="4"/>
        <v>8.8899999999999988</v>
      </c>
    </row>
    <row r="407" spans="2:13" x14ac:dyDescent="0.25">
      <c r="B407" s="61" t="s">
        <v>665</v>
      </c>
      <c r="C407" s="61" t="s">
        <v>679</v>
      </c>
      <c r="D407" s="61">
        <v>0.17499999999999999</v>
      </c>
      <c r="G407" s="61">
        <v>0.28000000000000003</v>
      </c>
      <c r="H407" s="61">
        <v>0.38</v>
      </c>
      <c r="M407" s="111">
        <f t="shared" si="4"/>
        <v>9.6519999999999992</v>
      </c>
    </row>
    <row r="408" spans="2:13" x14ac:dyDescent="0.25">
      <c r="B408" s="61" t="s">
        <v>665</v>
      </c>
      <c r="C408" s="61" t="s">
        <v>678</v>
      </c>
      <c r="D408" s="61">
        <v>0.2</v>
      </c>
      <c r="G408" s="61">
        <v>0.27700000000000002</v>
      </c>
      <c r="H408" s="61">
        <v>0.372</v>
      </c>
      <c r="M408" s="111">
        <f t="shared" si="4"/>
        <v>9.4487999999999985</v>
      </c>
    </row>
    <row r="409" spans="2:13" x14ac:dyDescent="0.25">
      <c r="B409" s="61" t="s">
        <v>665</v>
      </c>
      <c r="C409" s="61" t="s">
        <v>677</v>
      </c>
      <c r="D409" s="61">
        <v>0.32500000000000001</v>
      </c>
      <c r="G409" s="61">
        <v>0.27400000000000002</v>
      </c>
      <c r="H409" s="61">
        <v>0.36199999999999999</v>
      </c>
      <c r="M409" s="111">
        <f t="shared" si="4"/>
        <v>9.194799999999999</v>
      </c>
    </row>
    <row r="410" spans="2:13" x14ac:dyDescent="0.25">
      <c r="B410" s="61" t="s">
        <v>665</v>
      </c>
      <c r="C410" s="61" t="s">
        <v>666</v>
      </c>
      <c r="D410" s="61">
        <v>0.32500000000000001</v>
      </c>
      <c r="G410" s="61">
        <v>0.27300000000000002</v>
      </c>
      <c r="H410" s="61">
        <v>0.38500000000000001</v>
      </c>
      <c r="M410" s="111">
        <f t="shared" si="4"/>
        <v>9.7789999999999999</v>
      </c>
    </row>
    <row r="411" spans="2:13" x14ac:dyDescent="0.25">
      <c r="B411" s="61" t="s">
        <v>665</v>
      </c>
      <c r="C411" s="61" t="s">
        <v>668</v>
      </c>
      <c r="D411" s="61">
        <v>0.35</v>
      </c>
      <c r="G411" s="61">
        <v>0.27300000000000002</v>
      </c>
      <c r="H411" s="61">
        <v>0.38500000000000001</v>
      </c>
      <c r="M411" s="111">
        <f t="shared" si="4"/>
        <v>9.7789999999999999</v>
      </c>
    </row>
    <row r="412" spans="2:13" x14ac:dyDescent="0.25">
      <c r="B412" s="61" t="s">
        <v>665</v>
      </c>
      <c r="C412" s="61" t="s">
        <v>667</v>
      </c>
      <c r="D412" s="61">
        <v>0.35</v>
      </c>
      <c r="G412" s="61">
        <v>0.27300000000000002</v>
      </c>
      <c r="H412" s="61">
        <v>0.38500000000000001</v>
      </c>
      <c r="M412" s="111">
        <f t="shared" si="4"/>
        <v>9.7789999999999999</v>
      </c>
    </row>
    <row r="413" spans="2:13" x14ac:dyDescent="0.25">
      <c r="B413" s="61" t="s">
        <v>665</v>
      </c>
      <c r="C413" s="61" t="s">
        <v>669</v>
      </c>
      <c r="D413" s="61">
        <v>0.35</v>
      </c>
      <c r="G413" s="61">
        <v>0.27300000000000002</v>
      </c>
      <c r="H413" s="61">
        <v>0.38500000000000001</v>
      </c>
      <c r="M413" s="111">
        <f t="shared" si="4"/>
        <v>9.7789999999999999</v>
      </c>
    </row>
    <row r="414" spans="2:13" x14ac:dyDescent="0.25">
      <c r="B414" s="61" t="s">
        <v>665</v>
      </c>
      <c r="C414" s="61" t="s">
        <v>688</v>
      </c>
      <c r="D414" s="61">
        <v>0.45</v>
      </c>
      <c r="G414" s="61">
        <v>0.22600000000000001</v>
      </c>
      <c r="H414" s="61">
        <v>0.28299999999999997</v>
      </c>
      <c r="M414" s="111">
        <f t="shared" si="4"/>
        <v>7.1881999999999993</v>
      </c>
    </row>
    <row r="415" spans="2:13" x14ac:dyDescent="0.25">
      <c r="B415" s="61" t="s">
        <v>665</v>
      </c>
      <c r="C415" s="61" t="s">
        <v>670</v>
      </c>
      <c r="D415" s="61">
        <v>0.35</v>
      </c>
      <c r="G415" s="61">
        <v>0.22800000000000001</v>
      </c>
      <c r="H415" s="61">
        <v>0.28699999999999998</v>
      </c>
      <c r="M415" s="111">
        <f t="shared" si="4"/>
        <v>7.2897999999999987</v>
      </c>
    </row>
    <row r="416" spans="2:13" x14ac:dyDescent="0.25">
      <c r="B416" s="61" t="s">
        <v>665</v>
      </c>
      <c r="C416" s="61" t="s">
        <v>671</v>
      </c>
      <c r="D416" s="61">
        <v>0.35</v>
      </c>
      <c r="G416" s="61">
        <v>0.22800000000000001</v>
      </c>
      <c r="H416" s="61">
        <v>0.28799999999999998</v>
      </c>
      <c r="M416" s="111">
        <f t="shared" si="4"/>
        <v>7.315199999999999</v>
      </c>
    </row>
    <row r="417" spans="2:13" x14ac:dyDescent="0.25">
      <c r="B417" s="61" t="s">
        <v>665</v>
      </c>
      <c r="C417" s="61" t="s">
        <v>672</v>
      </c>
      <c r="D417" s="61">
        <v>0.3</v>
      </c>
      <c r="G417" s="61">
        <v>0.23</v>
      </c>
      <c r="H417" s="61">
        <v>0.28999999999999998</v>
      </c>
      <c r="M417" s="111">
        <f t="shared" si="4"/>
        <v>7.3659999999999988</v>
      </c>
    </row>
    <row r="418" spans="2:13" x14ac:dyDescent="0.25">
      <c r="B418" s="61" t="s">
        <v>665</v>
      </c>
      <c r="C418" s="61" t="s">
        <v>673</v>
      </c>
      <c r="D418" s="61">
        <v>0.27500000000000002</v>
      </c>
      <c r="G418" s="61">
        <v>0.23200000000000001</v>
      </c>
      <c r="H418" s="61">
        <v>0.29299999999999998</v>
      </c>
      <c r="M418" s="111">
        <f t="shared" si="4"/>
        <v>7.4421999999999988</v>
      </c>
    </row>
    <row r="419" spans="2:13" x14ac:dyDescent="0.25">
      <c r="B419" s="61" t="s">
        <v>665</v>
      </c>
      <c r="C419" s="61" t="s">
        <v>674</v>
      </c>
      <c r="D419" s="61">
        <v>0.25</v>
      </c>
      <c r="G419" s="61">
        <v>0.23300000000000001</v>
      </c>
      <c r="H419" s="61">
        <v>0.29499999999999998</v>
      </c>
      <c r="M419" s="111">
        <f t="shared" si="4"/>
        <v>7.4929999999999994</v>
      </c>
    </row>
    <row r="420" spans="2:13" x14ac:dyDescent="0.25">
      <c r="B420" s="61" t="s">
        <v>665</v>
      </c>
      <c r="C420" s="61" t="s">
        <v>675</v>
      </c>
      <c r="D420" s="61">
        <v>0.375</v>
      </c>
      <c r="G420" s="61">
        <v>0.252</v>
      </c>
      <c r="H420" s="61">
        <v>0.35699999999999998</v>
      </c>
      <c r="M420" s="111">
        <f t="shared" si="4"/>
        <v>9.0677999999999983</v>
      </c>
    </row>
    <row r="421" spans="2:13" x14ac:dyDescent="0.25">
      <c r="B421" s="61" t="s">
        <v>665</v>
      </c>
      <c r="C421" s="61" t="s">
        <v>676</v>
      </c>
      <c r="D421" s="61">
        <v>0.32500000000000001</v>
      </c>
      <c r="G421" s="61">
        <v>0.252</v>
      </c>
      <c r="H421" s="61">
        <v>0.35699999999999998</v>
      </c>
      <c r="M421" s="111">
        <f t="shared" si="4"/>
        <v>9.0677999999999983</v>
      </c>
    </row>
    <row r="422" spans="2:13" x14ac:dyDescent="0.25">
      <c r="B422" s="61" t="s">
        <v>665</v>
      </c>
      <c r="C422" s="61" t="s">
        <v>689</v>
      </c>
      <c r="D422" s="61">
        <v>0.32500000000000001</v>
      </c>
      <c r="G422" s="61">
        <v>0.26100000000000001</v>
      </c>
      <c r="H422" s="61">
        <v>0.32800000000000001</v>
      </c>
      <c r="M422" s="111">
        <f t="shared" si="4"/>
        <v>8.3311999999999991</v>
      </c>
    </row>
    <row r="423" spans="2:13" x14ac:dyDescent="0.25">
      <c r="B423" s="61" t="s">
        <v>665</v>
      </c>
      <c r="C423" s="61" t="s">
        <v>690</v>
      </c>
      <c r="D423" s="61">
        <v>0.35</v>
      </c>
      <c r="G423" s="61">
        <v>0.26300000000000001</v>
      </c>
      <c r="H423" s="61">
        <v>0.33</v>
      </c>
      <c r="M423" s="111">
        <f t="shared" si="4"/>
        <v>8.3819999999999997</v>
      </c>
    </row>
    <row r="424" spans="2:13" x14ac:dyDescent="0.25">
      <c r="B424" s="61" t="s">
        <v>665</v>
      </c>
      <c r="C424" s="61" t="s">
        <v>691</v>
      </c>
      <c r="D424" s="61">
        <v>0.25</v>
      </c>
      <c r="G424" s="61">
        <v>0.26300000000000001</v>
      </c>
      <c r="H424" s="61">
        <v>0.33600000000000002</v>
      </c>
      <c r="M424" s="111">
        <f t="shared" si="4"/>
        <v>8.5343999999999998</v>
      </c>
    </row>
    <row r="425" spans="2:13" x14ac:dyDescent="0.25">
      <c r="B425" s="61" t="s">
        <v>665</v>
      </c>
      <c r="C425" s="61" t="s">
        <v>692</v>
      </c>
      <c r="D425" s="61">
        <v>0.22500000000000001</v>
      </c>
      <c r="G425" s="61">
        <v>0.26300000000000001</v>
      </c>
      <c r="H425" s="61">
        <v>0.33700000000000002</v>
      </c>
      <c r="M425" s="111">
        <f t="shared" si="4"/>
        <v>8.5597999999999992</v>
      </c>
    </row>
    <row r="426" spans="2:13" x14ac:dyDescent="0.25">
      <c r="B426" s="61" t="s">
        <v>665</v>
      </c>
      <c r="C426" s="61" t="s">
        <v>693</v>
      </c>
      <c r="D426" s="61">
        <v>0.22500000000000001</v>
      </c>
      <c r="G426" s="61">
        <v>0.26300000000000001</v>
      </c>
      <c r="H426" s="61">
        <v>0.33700000000000002</v>
      </c>
      <c r="M426" s="111">
        <f t="shared" si="4"/>
        <v>8.5597999999999992</v>
      </c>
    </row>
    <row r="427" spans="2:13" x14ac:dyDescent="0.25">
      <c r="B427" s="61" t="s">
        <v>665</v>
      </c>
      <c r="C427" s="61" t="s">
        <v>694</v>
      </c>
      <c r="D427" s="61">
        <v>0.2</v>
      </c>
      <c r="G427" s="61">
        <v>0.27</v>
      </c>
      <c r="H427" s="61">
        <v>0.34399999999999997</v>
      </c>
      <c r="M427" s="111">
        <f t="shared" si="4"/>
        <v>8.7375999999999987</v>
      </c>
    </row>
  </sheetData>
  <sortState ref="C34:M41">
    <sortCondition ref="C34"/>
  </sortState>
  <dataValidations count="1">
    <dataValidation type="list" allowBlank="1" showInputMessage="1" showErrorMessage="1" sqref="C58">
      <formula1>Type_Corde_Liste</formula1>
    </dataValidation>
  </dataValidation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66</vt:i4>
      </vt:variant>
    </vt:vector>
  </HeadingPairs>
  <TitlesOfParts>
    <vt:vector size="73" baseType="lpstr">
      <vt:lpstr>Fiche Matériel Archer</vt:lpstr>
      <vt:lpstr>Viseur</vt:lpstr>
      <vt:lpstr>DSC</vt:lpstr>
      <vt:lpstr>Fournisseurs</vt:lpstr>
      <vt:lpstr>Flèches</vt:lpstr>
      <vt:lpstr>Param</vt:lpstr>
      <vt:lpstr>Param_DSC</vt:lpstr>
      <vt:lpstr>Arc</vt:lpstr>
      <vt:lpstr>Arc_Moins_Corde</vt:lpstr>
      <vt:lpstr>Arrow</vt:lpstr>
      <vt:lpstr>Arrow_Dynamic</vt:lpstr>
      <vt:lpstr>Aurel</vt:lpstr>
      <vt:lpstr>Autre_Tube_Fût</vt:lpstr>
      <vt:lpstr>Band</vt:lpstr>
      <vt:lpstr>Bearpaw</vt:lpstr>
      <vt:lpstr>Beiter</vt:lpstr>
      <vt:lpstr>Beman</vt:lpstr>
      <vt:lpstr>Berger_Ressort</vt:lpstr>
      <vt:lpstr>Branche_Corde_Taille</vt:lpstr>
      <vt:lpstr>Branche_Taille</vt:lpstr>
      <vt:lpstr>Branches_Type</vt:lpstr>
      <vt:lpstr>Byron_Ferguson</vt:lpstr>
      <vt:lpstr>Carbon_Express</vt:lpstr>
      <vt:lpstr>Carbon_Impact</vt:lpstr>
      <vt:lpstr>Carbon_Tech</vt:lpstr>
      <vt:lpstr>centershot</vt:lpstr>
      <vt:lpstr>Flèches!corde</vt:lpstr>
      <vt:lpstr>corde</vt:lpstr>
      <vt:lpstr>Corde_Diamètre</vt:lpstr>
      <vt:lpstr>Corde_Matériau</vt:lpstr>
      <vt:lpstr>Corde_Nb_Brins</vt:lpstr>
      <vt:lpstr>Corde_tableau</vt:lpstr>
      <vt:lpstr>Corde_Type</vt:lpstr>
      <vt:lpstr>Cuivre</vt:lpstr>
      <vt:lpstr>diam</vt:lpstr>
      <vt:lpstr>Diamètre_Fut</vt:lpstr>
      <vt:lpstr>Diamètre_Fut_cm</vt:lpstr>
      <vt:lpstr>DSC_Type_Arc</vt:lpstr>
      <vt:lpstr>Easton</vt:lpstr>
      <vt:lpstr>empenage</vt:lpstr>
      <vt:lpstr>Fabriquant</vt:lpstr>
      <vt:lpstr>Flèche_Marque</vt:lpstr>
      <vt:lpstr>Flèches_Autre</vt:lpstr>
      <vt:lpstr>Goldtip</vt:lpstr>
      <vt:lpstr>Flèches!Impression_des_titres</vt:lpstr>
      <vt:lpstr>insert</vt:lpstr>
      <vt:lpstr>Insert_Liste</vt:lpstr>
      <vt:lpstr>Marque_DSC</vt:lpstr>
      <vt:lpstr>Nock</vt:lpstr>
      <vt:lpstr>NockSet</vt:lpstr>
      <vt:lpstr>Plumes</vt:lpstr>
      <vt:lpstr>Poignée_Matériau</vt:lpstr>
      <vt:lpstr>Poignée_Taille</vt:lpstr>
      <vt:lpstr>Pouce_Gramme</vt:lpstr>
      <vt:lpstr>Repose_flèche</vt:lpstr>
      <vt:lpstr>shaft</vt:lpstr>
      <vt:lpstr>Speed_Loop</vt:lpstr>
      <vt:lpstr>Stabilisation</vt:lpstr>
      <vt:lpstr>Système_Accroche</vt:lpstr>
      <vt:lpstr>TF</vt:lpstr>
      <vt:lpstr>Tranche_Fil</vt:lpstr>
      <vt:lpstr>Tranche_Fil_Diametre</vt:lpstr>
      <vt:lpstr>Type_Arc</vt:lpstr>
      <vt:lpstr>Type_Arc_Liste</vt:lpstr>
      <vt:lpstr>Type_Corde_Liste</vt:lpstr>
      <vt:lpstr>Victory</vt:lpstr>
      <vt:lpstr>Visette</vt:lpstr>
      <vt:lpstr>Win_and_Win</vt:lpstr>
      <vt:lpstr>DSC!Zone_d_impression</vt:lpstr>
      <vt:lpstr>'Fiche Matériel Archer'!Zone_d_impression</vt:lpstr>
      <vt:lpstr>Flèches!Zone_d_impression</vt:lpstr>
      <vt:lpstr>Fournisseurs!Zone_d_impression</vt:lpstr>
      <vt:lpstr>Viseur!Zone_d_impression</vt:lpstr>
    </vt:vector>
  </TitlesOfParts>
  <Company>Les Archers du Phénix</Company>
  <LinksUpToDate>false</LinksUpToDate>
  <SharedDoc>false</SharedDoc>
  <HyperlinkBase>http://www.archers-du-phenix.fr</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matériel de l'archer</dc:title>
  <dc:subject>Fiche matériel de l'archer</dc:subject>
  <dc:creator>AUDUTEAU Alain</dc:creator>
  <dc:description>Pour les arcs classiques démontables et monoblocs._x000d_
Ne gère pas complètement les poulies</dc:description>
  <cp:lastModifiedBy>aauduteau</cp:lastModifiedBy>
  <cp:lastPrinted>2015-07-24T18:42:11Z</cp:lastPrinted>
  <dcterms:created xsi:type="dcterms:W3CDTF">2015-07-09T04:04:04Z</dcterms:created>
  <dcterms:modified xsi:type="dcterms:W3CDTF">2015-07-24T18:49:33Z</dcterms:modified>
  <cp:contentStatus/>
</cp:coreProperties>
</file>